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Mono" sheetId="1" r:id="rId1"/>
    <sheet name="Mono_Graph1" sheetId="2" r:id="rId2"/>
    <sheet name="Mono_Graph2" sheetId="3" r:id="rId3"/>
    <sheet name="Mono_Help_FR" sheetId="4" r:id="rId4"/>
    <sheet name="Lang" sheetId="5" r:id="rId5"/>
    <sheet name="ClassicBi" sheetId="6" r:id="rId6"/>
    <sheet name="ClassicBi_Graph1" sheetId="7" r:id="rId7"/>
    <sheet name="ClassicBi_Graph2" sheetId="8" r:id="rId8"/>
  </sheets>
  <definedNames>
    <definedName name="bike1">'Mono'!$W$3</definedName>
    <definedName name="donnees">'Mono'!$W$2:$AG$14</definedName>
    <definedName name="_xlnm.Print_Area" localSheetId="0">'Mono'!$A$2:$U$56</definedName>
  </definedNames>
  <calcPr fullCalcOnLoad="1"/>
</workbook>
</file>

<file path=xl/sharedStrings.xml><?xml version="1.0" encoding="utf-8"?>
<sst xmlns="http://schemas.openxmlformats.org/spreadsheetml/2006/main" count="365" uniqueCount="331">
  <si>
    <t>AB</t>
  </si>
  <si>
    <t>angle de rotation du b.o. PO</t>
  </si>
  <si>
    <t>Angle DPE d'origine</t>
  </si>
  <si>
    <t>Angle DPC d'origine</t>
  </si>
  <si>
    <t>Angle CPE d'origine</t>
  </si>
  <si>
    <t>Angle ADB d'origine</t>
  </si>
  <si>
    <t>Angle PDC d'origine</t>
  </si>
  <si>
    <t>Distance PC d'origine</t>
  </si>
  <si>
    <t>Angle PDA fixe</t>
  </si>
  <si>
    <t>Angle BDC fixe</t>
  </si>
  <si>
    <t>Angle DPE'</t>
  </si>
  <si>
    <t>Distance E'D nouvelle</t>
  </si>
  <si>
    <t>Angle PDE'</t>
  </si>
  <si>
    <t>Angle PE'D</t>
  </si>
  <si>
    <t>Angle C'DE'</t>
  </si>
  <si>
    <t>Angle CDC'</t>
  </si>
  <si>
    <t>Angle B'DA</t>
  </si>
  <si>
    <t>Nouvelle longueur amorto B'A</t>
  </si>
  <si>
    <t>Calculs à l'origine</t>
  </si>
  <si>
    <t>Débattement roue ARR 11R89</t>
  </si>
  <si>
    <t>Débattement roue ARR 11R90-92</t>
  </si>
  <si>
    <t>Compression amortisseur</t>
  </si>
  <si>
    <t>Inclinaison PO % horizontale (-+) D°</t>
  </si>
  <si>
    <t>Débattement roue (vertical)</t>
  </si>
  <si>
    <t>OP</t>
  </si>
  <si>
    <t>DP</t>
  </si>
  <si>
    <t>EP</t>
  </si>
  <si>
    <t>CE</t>
  </si>
  <si>
    <t>CD</t>
  </si>
  <si>
    <t>AD</t>
  </si>
  <si>
    <t>AP</t>
  </si>
  <si>
    <t>BC</t>
  </si>
  <si>
    <t>BD</t>
  </si>
  <si>
    <t>Rad</t>
  </si>
  <si>
    <t>Deg</t>
  </si>
  <si>
    <t>Débattement de roue max (mm)</t>
  </si>
  <si>
    <t>Mesures Did :</t>
  </si>
  <si>
    <t>les 4 pièces démontées, soit AB max, et inclinaison PO estimée</t>
  </si>
  <si>
    <t>Mesures JK :</t>
  </si>
  <si>
    <t>machine opérationnelle</t>
  </si>
  <si>
    <t>Diff de hauteur de selle</t>
  </si>
  <si>
    <t>Amortisseur</t>
  </si>
  <si>
    <t>61000-</t>
  </si>
  <si>
    <t>40C00</t>
  </si>
  <si>
    <t>40C10</t>
  </si>
  <si>
    <t>62600-</t>
  </si>
  <si>
    <t>17830</t>
  </si>
  <si>
    <t>40830</t>
  </si>
  <si>
    <t>62641-</t>
  </si>
  <si>
    <t>17C00</t>
  </si>
  <si>
    <t>40C11</t>
  </si>
  <si>
    <t>62100-</t>
  </si>
  <si>
    <t>40C20</t>
  </si>
  <si>
    <t>41C10</t>
  </si>
  <si>
    <t>41384-</t>
  </si>
  <si>
    <t>DessSUZ</t>
  </si>
  <si>
    <t>11R89Did1</t>
  </si>
  <si>
    <t>11R89Did2</t>
  </si>
  <si>
    <t>11R92MM1</t>
  </si>
  <si>
    <t>11R92MM2</t>
  </si>
  <si>
    <t>Chaine</t>
  </si>
  <si>
    <t>neuve</t>
  </si>
  <si>
    <t>BIKE1</t>
  </si>
  <si>
    <t>BIKE2</t>
  </si>
  <si>
    <t>BIKE3</t>
  </si>
  <si>
    <t>BIKE4</t>
  </si>
  <si>
    <t>Bras oscillant</t>
  </si>
  <si>
    <t>Any</t>
  </si>
  <si>
    <t>want</t>
  </si>
  <si>
    <t>you</t>
  </si>
  <si>
    <t>Mesures MM :</t>
  </si>
  <si>
    <t>les 4 pièces démontées, soit AB max, et inclinaison PO optimale pour compression mini</t>
  </si>
  <si>
    <t>7R89JK</t>
  </si>
  <si>
    <t>D°</t>
  </si>
  <si>
    <t>Max</t>
  </si>
  <si>
    <t>BIKE CHOICE ===&gt;</t>
  </si>
  <si>
    <t>Diff.</t>
  </si>
  <si>
    <t>&gt;1</t>
  </si>
  <si>
    <t>FR</t>
  </si>
  <si>
    <t>EN</t>
  </si>
  <si>
    <t>New shock absorber length B'A</t>
  </si>
  <si>
    <t>Seat heigh diff.</t>
  </si>
  <si>
    <t>Wheel travel max (mm)</t>
  </si>
  <si>
    <t>First calculations</t>
  </si>
  <si>
    <t>First ADB angle</t>
  </si>
  <si>
    <t>PDA fixed angle</t>
  </si>
  <si>
    <t>BDC fixed angle</t>
  </si>
  <si>
    <t>First PDC angle</t>
  </si>
  <si>
    <t>First PC distance</t>
  </si>
  <si>
    <t>First DPC angle</t>
  </si>
  <si>
    <t>First CPE angle</t>
  </si>
  <si>
    <t>First DPE angle</t>
  </si>
  <si>
    <t>Distance de O à l'horizontale de P</t>
  </si>
  <si>
    <t>Distance from O to horizontal from P</t>
  </si>
  <si>
    <t>Wheel travel</t>
  </si>
  <si>
    <t>PO S.A. rotation angle</t>
  </si>
  <si>
    <t>DPE' angle</t>
  </si>
  <si>
    <t>New E'D distance</t>
  </si>
  <si>
    <t>PE'D angle</t>
  </si>
  <si>
    <t>PDE' angle</t>
  </si>
  <si>
    <t>C'DE' angle</t>
  </si>
  <si>
    <t>CDC' angle</t>
  </si>
  <si>
    <t>B'DA angle</t>
  </si>
  <si>
    <t>Shock absorber compressing</t>
  </si>
  <si>
    <t>TABLEAU A REMPLIR DE VALEURS DE MOTOS</t>
  </si>
  <si>
    <t>HERE THE BIKES VALUES</t>
  </si>
  <si>
    <t>CHOIX MOTO ===&gt;</t>
  </si>
  <si>
    <t>Bracket, rear cushion unit</t>
  </si>
  <si>
    <t>Calculation (all in radians &amp; mm) using increments of</t>
  </si>
  <si>
    <t>Français</t>
  </si>
  <si>
    <t>English</t>
  </si>
  <si>
    <t>Deutsch</t>
  </si>
  <si>
    <t>DE</t>
  </si>
  <si>
    <t>RAD WAHL ===&gt;</t>
  </si>
  <si>
    <t>Unt.</t>
  </si>
  <si>
    <t>PO kippen % horizontal (+-) D°</t>
  </si>
  <si>
    <t>PO incline % horizontal (-+) D°</t>
  </si>
  <si>
    <t>Rad federweg max (mm)</t>
  </si>
  <si>
    <t>PDA winkel</t>
  </si>
  <si>
    <t>Zuerst berechnung</t>
  </si>
  <si>
    <t>BDC winkel</t>
  </si>
  <si>
    <t>Erst PDC winkel</t>
  </si>
  <si>
    <t>Erst ADB winkel</t>
  </si>
  <si>
    <t>Erst PC abstand</t>
  </si>
  <si>
    <t>Erst DPC winkel</t>
  </si>
  <si>
    <t>Erst CPE winkel</t>
  </si>
  <si>
    <t>Erst DPE winkel</t>
  </si>
  <si>
    <t>Abstand von O zu horizontal von P</t>
  </si>
  <si>
    <t>Rad federweg</t>
  </si>
  <si>
    <t>DPE' winkel</t>
  </si>
  <si>
    <t>Neue E'D abstand</t>
  </si>
  <si>
    <t>PE'D winkel</t>
  </si>
  <si>
    <t>PDE' winkel</t>
  </si>
  <si>
    <t>C'DE' winkel</t>
  </si>
  <si>
    <t>CDC' winkel</t>
  </si>
  <si>
    <t>B'DA winkel</t>
  </si>
  <si>
    <t>Neue dämpfer länge</t>
  </si>
  <si>
    <t>Dämpfer kompression</t>
  </si>
  <si>
    <t>MOTORRAD ABMESSUNGEN</t>
  </si>
  <si>
    <t>Dämpfer festsetzung</t>
  </si>
  <si>
    <t/>
  </si>
  <si>
    <t>zahl</t>
  </si>
  <si>
    <t>wish</t>
  </si>
  <si>
    <t>Sitz höhe unterschied</t>
  </si>
  <si>
    <t>Biellette de commande d'amortisseur</t>
  </si>
  <si>
    <t>Tige de biellette de commande d'amortisseur</t>
  </si>
  <si>
    <t>Patte de fixation haut amortisseur</t>
  </si>
  <si>
    <t>Cadre</t>
  </si>
  <si>
    <t>Frame</t>
  </si>
  <si>
    <t>angle de rotation de PE (idem PO)</t>
  </si>
  <si>
    <t>PE rotation angle (same as PO)</t>
  </si>
  <si>
    <t>PE drehung winkel (gleich als PO)</t>
  </si>
  <si>
    <t>PO Schwinge drehung winkel</t>
  </si>
  <si>
    <t>Langue/Language/Sprache ===&gt;</t>
  </si>
  <si>
    <t>Fahrgestell</t>
  </si>
  <si>
    <t>Textes utilisés (Used texts)</t>
  </si>
  <si>
    <t>Modif de tige de biellette CE pour changer hauteur de selle</t>
  </si>
  <si>
    <t>Modifying CE cushion lever rod to change seat heigh</t>
  </si>
  <si>
    <t>CE Federbein modifikation um sitz höhe zu ändern</t>
  </si>
  <si>
    <t>AB' (nouvelle longueur amortisseur)</t>
  </si>
  <si>
    <t>Angle BDB' (rotation biellette)</t>
  </si>
  <si>
    <t>Angle ADB (amortisseur standard)</t>
  </si>
  <si>
    <t>Angle ADB' (nouvel amortisseur)</t>
  </si>
  <si>
    <t>Distance ED</t>
  </si>
  <si>
    <t>Angle PDE</t>
  </si>
  <si>
    <t>Angle CDE</t>
  </si>
  <si>
    <t>Angle C'DE</t>
  </si>
  <si>
    <t>Longueur nouvelle tige de biellette C'E</t>
  </si>
  <si>
    <t>Longueurs tige de biellette CE</t>
  </si>
  <si>
    <t>CE cushion lever rod LENGTHS</t>
  </si>
  <si>
    <t>CE federbein längen</t>
  </si>
  <si>
    <t>Diff de longueur tige de biellette</t>
  </si>
  <si>
    <t>Cushion lever rod length diff</t>
  </si>
  <si>
    <t>Federbein länge unterschied</t>
  </si>
  <si>
    <t>Montage d'un amortisseur de longueur différente : Calcul de longueur de tige de biellette pour conserver l'assiette d'origine sans charge</t>
  </si>
  <si>
    <t xml:space="preserve">Saisir Grandeur d'intervalle : </t>
  </si>
  <si>
    <t xml:space="preserve">Give Gap value : </t>
  </si>
  <si>
    <t>Intervall grösse geben :</t>
  </si>
  <si>
    <t>à</t>
  </si>
  <si>
    <t>Calculations for cushion lever rods from</t>
  </si>
  <si>
    <t>to</t>
  </si>
  <si>
    <t xml:space="preserve">Berechnung (alles Radiant und mm) mit erhöhen </t>
  </si>
  <si>
    <t>Berechnungen für federbeinen von</t>
  </si>
  <si>
    <t>zu</t>
  </si>
  <si>
    <t>Diff de longueur d'amortisseur</t>
  </si>
  <si>
    <t>Shock absorber with different length : cushion lever rod calculation to preserve original height without load</t>
  </si>
  <si>
    <t>Dämpfer mit verschiedene länge : federbein berechnung um original höhe zu bewahren</t>
  </si>
  <si>
    <t>Calculations for shock absorber from</t>
  </si>
  <si>
    <t>Berechnungen für dämpfer von</t>
  </si>
  <si>
    <t>AB' (new shock absorber length)</t>
  </si>
  <si>
    <t>AB' (neues dämpfer länge)</t>
  </si>
  <si>
    <t>Shock absorber length difference</t>
  </si>
  <si>
    <t>ADB angle (standard shock absorber)</t>
  </si>
  <si>
    <t>ADB winkel (standard dämpfer)</t>
  </si>
  <si>
    <t>ADB' angle (new shock absorber)</t>
  </si>
  <si>
    <t>ADB winkel (neues dämpfer)</t>
  </si>
  <si>
    <t>BDB' angle (cushion lever rotation)</t>
  </si>
  <si>
    <t>BDB' winkel (federbein drehung)</t>
  </si>
  <si>
    <t>ED distance</t>
  </si>
  <si>
    <t>ED länge</t>
  </si>
  <si>
    <t>Calculs pour amortisseur de</t>
  </si>
  <si>
    <t>PDE angle</t>
  </si>
  <si>
    <t>PDE winkel</t>
  </si>
  <si>
    <t>CDE angle</t>
  </si>
  <si>
    <t>C'DE angle</t>
  </si>
  <si>
    <t>CDE winkel</t>
  </si>
  <si>
    <t>C'DE winkel</t>
  </si>
  <si>
    <t>Cushion lever rod new length</t>
  </si>
  <si>
    <t>Federbein neues länge</t>
  </si>
  <si>
    <t>NB : Vérifier que l'amortisseur ne bute pas vers l'avant (si &gt;</t>
  </si>
  <si>
    <t>) ou vers l'arrière (si &lt;</t>
  </si>
  <si>
    <t>NB : check if shock absorber don't bump front (if &gt;</t>
  </si>
  <si>
    <t>) or rear (if &lt;</t>
  </si>
  <si>
    <t>NB : überprüfen ob dämpfer stoss nicht vorn (wen &gt;</t>
  </si>
  <si>
    <t>) oder hintern (wen &lt;</t>
  </si>
  <si>
    <t>lors des débattements</t>
  </si>
  <si>
    <t>during wheel travels</t>
  </si>
  <si>
    <t>mit rad federweg</t>
  </si>
  <si>
    <t>Calculs pour tige de biellette de</t>
  </si>
  <si>
    <t>Dämpfer länge unterschied</t>
  </si>
  <si>
    <t>au</t>
  </si>
  <si>
    <t>choix</t>
  </si>
  <si>
    <t>Calcul des compressions d'amortisseur selon débattements de roue arrière</t>
  </si>
  <si>
    <t>Schock absorber compressing calculation according to rear wheel travel</t>
  </si>
  <si>
    <t>Dämpfer kompression berechnen nach rad federweg</t>
  </si>
  <si>
    <t>usée (+6)</t>
  </si>
  <si>
    <t>Renseignez vos propres valeurs (BIKE1…) en suivant ce lien</t>
  </si>
  <si>
    <t>(Left=calculation - Right=compare)</t>
  </si>
  <si>
    <t>(Lin=berechnung - Rec=vergleich)</t>
  </si>
  <si>
    <t>Ihre grössen (BIKE1…) hier geben</t>
  </si>
  <si>
    <t>Give your own values (BIKE1…) following this link</t>
  </si>
  <si>
    <t>Comparaison linéaire</t>
  </si>
  <si>
    <t>Linear comparison</t>
  </si>
  <si>
    <t>Linearen vergleich</t>
  </si>
  <si>
    <t>Saisir résistance du ressort N/mm (F1) :</t>
  </si>
  <si>
    <t>Différences</t>
  </si>
  <si>
    <t>Calcul de résistance selon débattements de roue arrière Graph2</t>
  </si>
  <si>
    <t>Report Débattement (D2, abscisse)</t>
  </si>
  <si>
    <t>Report Compression (D1)</t>
  </si>
  <si>
    <t>Strength calculation according to rear wheel travel Graph2</t>
  </si>
  <si>
    <t>Widerstand berechnung nach rad federweg Graph2</t>
  </si>
  <si>
    <t>Give spring strength N/mm (F1) :</t>
  </si>
  <si>
    <t>Rear wheel travel again (D2, abscissa)</t>
  </si>
  <si>
    <t>Rad federweg wieder (D2, abszisse)</t>
  </si>
  <si>
    <t>Compressing again (D1)</t>
  </si>
  <si>
    <t>Kompression wieder (D1)</t>
  </si>
  <si>
    <t>Widerstand</t>
  </si>
  <si>
    <t>Unterschieden</t>
  </si>
  <si>
    <t>Frühling widerstand gebenn N/mm (F1) :</t>
  </si>
  <si>
    <t>1) Choisissez la langue en B1C1</t>
  </si>
  <si>
    <t>Si le modèle ne figure pas dans la liste, définissez le dans le tableau W2:AG15</t>
  </si>
  <si>
    <t>2) Choisissez le modèle de moto à étudier en B2C2 (liste de gauche)</t>
  </si>
  <si>
    <t>4) Après quelques calculs initiaux, Excel calcule automatiquement les compressions de l'amortissuer selon les débattements de roue</t>
  </si>
  <si>
    <t>Excel calcule 19 valeurs pour tracer une courbe (Graph1)</t>
  </si>
  <si>
    <t>Possibilité de saisir un débattement particulier en U36 pour faire calculer la compression de l'amortisseur</t>
  </si>
  <si>
    <t>Excel calcule automatiquement les résistances selon débattements pour tracer une courbe Graph2</t>
  </si>
  <si>
    <t>Comparaison de la courbe avec une droite qui joint les extrêmes, affichage des paramètres de la droite Y=a*X+b, et report dans Graph1</t>
  </si>
  <si>
    <t>Comparaison de la courbe avec une droite qui joint les extrêmes, affichage des paramètres de la droite Y=a*X+b, calcul des différences</t>
  </si>
  <si>
    <t>Possibilité de saisir un débattement particulier en U36 pour faire calculer la résistance</t>
  </si>
  <si>
    <t>B2C2</t>
  </si>
  <si>
    <t>W2:AG15</t>
  </si>
  <si>
    <t>D2E2</t>
  </si>
  <si>
    <t>U36</t>
  </si>
  <si>
    <t>B50</t>
  </si>
  <si>
    <t>6) Modif de longueur de tige de biellette pour changer hauteur de selle</t>
  </si>
  <si>
    <t>Saisir l'intervalle à étudier en B62</t>
  </si>
  <si>
    <t>Excel étudie 18 longueurs de biellettes, réparties régulièrement de part et d'autre de la longueur d'origine, selon l'intervalle que vous avez saisi</t>
  </si>
  <si>
    <t>Pour chacune des longueurs de biellette, la différence de hauteur de selle avec l'origine est calculée</t>
  </si>
  <si>
    <t>B62</t>
  </si>
  <si>
    <t>Possibilité de saisir une longueur de biellette particulière en U64 pour faire calculer la différence de hauteur de selle</t>
  </si>
  <si>
    <t>U64</t>
  </si>
  <si>
    <t>7) Amortisseur de longueur différente : Calcul de longueur de tige de biellette pour conserver l'assiette d'origine sans charge</t>
  </si>
  <si>
    <t>Saisir l'intervalle à étudier en B96</t>
  </si>
  <si>
    <t>Excel étudie 18 longueurs d'amortisseurs, réparties régulièrement de part et d'autre de la longueur d'origine, selon l'intervalle que vous avez saisi</t>
  </si>
  <si>
    <t>Pour chacune des longueurs d'amortisseur, un nouvelle longueur de tige de biellette est calculée</t>
  </si>
  <si>
    <t>Possibilité de saisir une longueur d'amortisseur particulière en U98 pour faire calculer la longueur de tige de biellette</t>
  </si>
  <si>
    <t>U98</t>
  </si>
  <si>
    <t>B96</t>
  </si>
  <si>
    <t>B1C1</t>
  </si>
  <si>
    <t>Saisir la résistance du ressort de l'amortisseur en B50</t>
  </si>
  <si>
    <t>5) Calcul de résistance</t>
  </si>
  <si>
    <t>Affichage des paramètres d'un second modèle, calcul des différences de paramètres géométriques</t>
  </si>
  <si>
    <t>3) Possibilité d'afficher un second modèle en D2E2 (liste de droite) pour comparer les paramètres géométriques</t>
  </si>
  <si>
    <t>NB : ce second modèle sert à comparer plusieurs mesures d'un même modèle de moto, afin d'évaluer la crédibilité des mesures</t>
  </si>
  <si>
    <t>Ce second modèle ne sert absoluement pas dans les calculs qui suivent</t>
  </si>
  <si>
    <t>Résistance</t>
  </si>
  <si>
    <t>Strength</t>
  </si>
  <si>
    <t xml:space="preserve"> F2=F1xD1/D2 (ordonnée)</t>
  </si>
  <si>
    <t xml:space="preserve"> F2=F1xD1/D2 (Y axis)</t>
  </si>
  <si>
    <t>Swing arm (bras oscillant)</t>
  </si>
  <si>
    <t>Schwinge (bras oscillant)</t>
  </si>
  <si>
    <t>Cushion lever rod (tige de biellette…)</t>
  </si>
  <si>
    <t>Cushion lever (biellette de commande d'amortisseur)</t>
  </si>
  <si>
    <t>Dämpferhebel (biellette de commande d'amortisseur)</t>
  </si>
  <si>
    <t>Federbein (tige de biellette…)</t>
  </si>
  <si>
    <t>Shock absorber (amortisseur)</t>
  </si>
  <si>
    <t>Dämpfer (amortisseur)</t>
  </si>
  <si>
    <t>89(K)</t>
  </si>
  <si>
    <t>90(L)</t>
  </si>
  <si>
    <t>91(M)</t>
  </si>
  <si>
    <t>92(N)</t>
  </si>
  <si>
    <t>Réfs SUZUKI 1100GSX-R (E04 France)</t>
  </si>
  <si>
    <t>OH (distance de O à horizontale passant par P)</t>
  </si>
  <si>
    <t>OP (longueur bras oscillant)</t>
  </si>
  <si>
    <t>AP (axe bras oscillant à axe supérieur amortisseur)</t>
  </si>
  <si>
    <t>AB (longueur amortisseur)</t>
  </si>
  <si>
    <t>BC (pour position axe inférieur amortisseur)</t>
  </si>
  <si>
    <t>CO (pour position axe inférieur amortisseur)</t>
  </si>
  <si>
    <t>Inclinaison PO à l'origine</t>
  </si>
  <si>
    <t>rad</t>
  </si>
  <si>
    <t>deg</t>
  </si>
  <si>
    <t>Angle CPB fixe</t>
  </si>
  <si>
    <t>Distance PB</t>
  </si>
  <si>
    <t>Distance O' à l'horizontale passant par P</t>
  </si>
  <si>
    <t>Angle O'PHorizontale</t>
  </si>
  <si>
    <t>Rotation de PO</t>
  </si>
  <si>
    <t>Rotation de PB (=PO)</t>
  </si>
  <si>
    <t>Angle BPA</t>
  </si>
  <si>
    <t>Angle B'PA</t>
  </si>
  <si>
    <t>Débattement max de roue arrière</t>
  </si>
  <si>
    <t>Distance B'A (nouvelle longueur amortisseur)</t>
  </si>
  <si>
    <t>Calcul initial</t>
  </si>
  <si>
    <t>Données</t>
  </si>
  <si>
    <t>NB : Coulisser les tubes de fourche de la même valeur + 10% (chasse 25°)</t>
  </si>
  <si>
    <t>NB : move fork tubes same value + 10% (caster 25°)</t>
  </si>
  <si>
    <t>NB : gabel stänge gleichen abstand schieben + 10% (nachlaufwinkel 25°)</t>
  </si>
  <si>
    <t>(Gauche=calcul - Droite=comparaison)</t>
  </si>
  <si>
    <t>Mesures de TONY (A/H) :</t>
  </si>
  <si>
    <t>7R cul rond, biellette +9mm moto abaissée de 4cm</t>
  </si>
  <si>
    <t>moi théotique : 44,7mm</t>
  </si>
  <si>
    <t>12B 1999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</si>
</sst>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"/>
    <numFmt numFmtId="167" formatCode="#,##0.000"/>
  </numFmts>
  <fonts count="17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.5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9"/>
      <name val="Arial"/>
      <family val="2"/>
    </font>
    <font>
      <sz val="10.25"/>
      <name val="Arial"/>
      <family val="0"/>
    </font>
    <font>
      <b/>
      <u val="single"/>
      <sz val="10"/>
      <color indexed="4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5" fontId="5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5" fillId="2" borderId="10" xfId="0" applyFont="1" applyFill="1" applyBorder="1" applyAlignment="1">
      <alignment/>
    </xf>
    <xf numFmtId="165" fontId="5" fillId="2" borderId="11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16" xfId="0" applyFill="1" applyBorder="1" applyAlignment="1" quotePrefix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 quotePrefix="1">
      <alignment textRotation="90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left" indent="2"/>
    </xf>
    <xf numFmtId="165" fontId="0" fillId="0" borderId="0" xfId="0" applyNumberFormat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165" fontId="0" fillId="0" borderId="25" xfId="0" applyNumberFormat="1" applyBorder="1" applyAlignment="1">
      <alignment/>
    </xf>
    <xf numFmtId="165" fontId="0" fillId="0" borderId="25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5" fillId="2" borderId="6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164" fontId="0" fillId="0" borderId="5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8" xfId="0" applyBorder="1" applyAlignment="1">
      <alignment horizontal="right"/>
    </xf>
    <xf numFmtId="0" fontId="0" fillId="0" borderId="8" xfId="0" applyFill="1" applyBorder="1" applyAlignment="1" quotePrefix="1">
      <alignment horizontal="center"/>
    </xf>
    <xf numFmtId="0" fontId="0" fillId="0" borderId="8" xfId="0" applyFill="1" applyBorder="1" applyAlignment="1">
      <alignment horizontal="center"/>
    </xf>
    <xf numFmtId="0" fontId="4" fillId="0" borderId="5" xfId="0" applyFont="1" applyBorder="1" applyAlignment="1">
      <alignment/>
    </xf>
    <xf numFmtId="0" fontId="11" fillId="0" borderId="0" xfId="15" applyAlignment="1">
      <alignment/>
    </xf>
    <xf numFmtId="0" fontId="13" fillId="2" borderId="0" xfId="15" applyFont="1" applyFill="1" applyAlignment="1">
      <alignment/>
    </xf>
    <xf numFmtId="0" fontId="13" fillId="2" borderId="0" xfId="15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7" fillId="0" borderId="28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167" fontId="0" fillId="0" borderId="16" xfId="0" applyNumberFormat="1" applyBorder="1" applyAlignment="1">
      <alignment/>
    </xf>
    <xf numFmtId="167" fontId="0" fillId="0" borderId="27" xfId="0" applyNumberFormat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5" fillId="2" borderId="0" xfId="0" applyNumberFormat="1" applyFont="1" applyFill="1" applyAlignment="1">
      <alignment/>
    </xf>
    <xf numFmtId="164" fontId="5" fillId="2" borderId="6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167" fontId="0" fillId="0" borderId="0" xfId="0" applyNumberFormat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5" fillId="2" borderId="0" xfId="0" applyFont="1" applyFill="1" applyAlignment="1">
      <alignment/>
    </xf>
    <xf numFmtId="164" fontId="7" fillId="0" borderId="5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/>
    </xf>
    <xf numFmtId="167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15" fillId="2" borderId="0" xfId="15" applyFont="1" applyFill="1" applyAlignment="1">
      <alignment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29" xfId="0" applyFont="1" applyFill="1" applyBorder="1" applyAlignment="1">
      <alignment horizontal="center" vertical="top"/>
    </xf>
    <xf numFmtId="0" fontId="5" fillId="2" borderId="30" xfId="0" applyFont="1" applyFill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165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Mono!$A$47</c:f>
              <c:strCache>
                <c:ptCount val="1"/>
                <c:pt idx="0">
                  <c:v>Compression amortisseur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Mono!$B$36:$T$36</c:f>
              <c:numCache>
                <c:ptCount val="19"/>
                <c:pt idx="0">
                  <c:v>0</c:v>
                </c:pt>
                <c:pt idx="1">
                  <c:v>7.777777777777778</c:v>
                </c:pt>
                <c:pt idx="2">
                  <c:v>15.555555555555555</c:v>
                </c:pt>
                <c:pt idx="3">
                  <c:v>23.333333333333332</c:v>
                </c:pt>
                <c:pt idx="4">
                  <c:v>31.11111111111111</c:v>
                </c:pt>
                <c:pt idx="5">
                  <c:v>38.888888888888886</c:v>
                </c:pt>
                <c:pt idx="6">
                  <c:v>46.666666666666664</c:v>
                </c:pt>
                <c:pt idx="7">
                  <c:v>54.44444444444444</c:v>
                </c:pt>
                <c:pt idx="8">
                  <c:v>62.22222222222222</c:v>
                </c:pt>
                <c:pt idx="9">
                  <c:v>70</c:v>
                </c:pt>
                <c:pt idx="10">
                  <c:v>77.77777777777777</c:v>
                </c:pt>
                <c:pt idx="11">
                  <c:v>85.55555555555554</c:v>
                </c:pt>
                <c:pt idx="12">
                  <c:v>93.33333333333331</c:v>
                </c:pt>
                <c:pt idx="13">
                  <c:v>101.11111111111109</c:v>
                </c:pt>
                <c:pt idx="14">
                  <c:v>108.88888888888886</c:v>
                </c:pt>
                <c:pt idx="15">
                  <c:v>116.66666666666663</c:v>
                </c:pt>
                <c:pt idx="16">
                  <c:v>124.4444444444444</c:v>
                </c:pt>
                <c:pt idx="17">
                  <c:v>132.22222222222217</c:v>
                </c:pt>
                <c:pt idx="18">
                  <c:v>139.99999999999994</c:v>
                </c:pt>
              </c:numCache>
            </c:numRef>
          </c:xVal>
          <c:yVal>
            <c:numRef>
              <c:f>Mono!$B$47:$T$47</c:f>
              <c:numCache>
                <c:ptCount val="19"/>
                <c:pt idx="0">
                  <c:v>0</c:v>
                </c:pt>
                <c:pt idx="1">
                  <c:v>3.3491906021306477</c:v>
                </c:pt>
                <c:pt idx="2">
                  <c:v>6.762317627280595</c:v>
                </c:pt>
                <c:pt idx="3">
                  <c:v>10.238337081733334</c:v>
                </c:pt>
                <c:pt idx="4">
                  <c:v>13.776425459410405</c:v>
                </c:pt>
                <c:pt idx="5">
                  <c:v>17.37596871247308</c:v>
                </c:pt>
                <c:pt idx="6">
                  <c:v>21.03655377055469</c:v>
                </c:pt>
                <c:pt idx="7">
                  <c:v>24.75796242379073</c:v>
                </c:pt>
                <c:pt idx="8">
                  <c:v>28.540167448011232</c:v>
                </c:pt>
                <c:pt idx="9">
                  <c:v>32.383330909125846</c:v>
                </c:pt>
                <c:pt idx="10">
                  <c:v>36.28780464070468</c:v>
                </c:pt>
                <c:pt idx="11">
                  <c:v>40.25413294677287</c:v>
                </c:pt>
                <c:pt idx="12">
                  <c:v>44.283057643837026</c:v>
                </c:pt>
                <c:pt idx="13">
                  <c:v>48.375525625424245</c:v>
                </c:pt>
                <c:pt idx="14">
                  <c:v>52.53269921293645</c:v>
                </c:pt>
                <c:pt idx="15">
                  <c:v>56.75596965345386</c:v>
                </c:pt>
                <c:pt idx="16">
                  <c:v>61.04697424491113</c:v>
                </c:pt>
                <c:pt idx="17">
                  <c:v>65.40761772083334</c:v>
                </c:pt>
                <c:pt idx="18">
                  <c:v>69.84009872306748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Mono!$A$48</c:f>
              <c:strCache>
                <c:ptCount val="1"/>
                <c:pt idx="0">
                  <c:v>Comparaison linéaire Y=0,499*X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(Mono!$B$36,Mono!$T$36)</c:f>
              <c:numCache>
                <c:ptCount val="2"/>
                <c:pt idx="0">
                  <c:v>0</c:v>
                </c:pt>
                <c:pt idx="1">
                  <c:v>139.99999999999994</c:v>
                </c:pt>
              </c:numCache>
            </c:numRef>
          </c:xVal>
          <c:yVal>
            <c:numRef>
              <c:f>(Mono!$B$47,Mono!$T$47)</c:f>
              <c:numCache>
                <c:ptCount val="2"/>
                <c:pt idx="0">
                  <c:v>0</c:v>
                </c:pt>
                <c:pt idx="1">
                  <c:v>69.84009872306748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(Mono!$B$36,Mono!$B$36)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Mono!$B$47:$B$48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(Mono!$C$36,Mono!$C$36)</c:f>
              <c:numCache>
                <c:ptCount val="2"/>
                <c:pt idx="0">
                  <c:v>7.777777777777778</c:v>
                </c:pt>
                <c:pt idx="1">
                  <c:v>7.777777777777778</c:v>
                </c:pt>
              </c:numCache>
            </c:numRef>
          </c:xVal>
          <c:yVal>
            <c:numRef>
              <c:f>Mono!$C$47:$C$48</c:f>
              <c:numCache>
                <c:ptCount val="2"/>
                <c:pt idx="0">
                  <c:v>3.3491906021306477</c:v>
                </c:pt>
                <c:pt idx="1">
                  <c:v>3.880005484614862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(Mono!$D$36,Mono!$D$36)</c:f>
              <c:numCache>
                <c:ptCount val="2"/>
                <c:pt idx="0">
                  <c:v>15.555555555555555</c:v>
                </c:pt>
                <c:pt idx="1">
                  <c:v>15.555555555555555</c:v>
                </c:pt>
              </c:numCache>
            </c:numRef>
          </c:xVal>
          <c:yVal>
            <c:numRef>
              <c:f>Mono!$D$47:$D$48</c:f>
              <c:numCache>
                <c:ptCount val="2"/>
                <c:pt idx="0">
                  <c:v>6.762317627280595</c:v>
                </c:pt>
                <c:pt idx="1">
                  <c:v>7.760010969229724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(Mono!$E$36,Mono!$E$36)</c:f>
              <c:numCache>
                <c:ptCount val="2"/>
                <c:pt idx="0">
                  <c:v>23.333333333333332</c:v>
                </c:pt>
                <c:pt idx="1">
                  <c:v>23.333333333333332</c:v>
                </c:pt>
              </c:numCache>
            </c:numRef>
          </c:xVal>
          <c:yVal>
            <c:numRef>
              <c:f>Mono!$E$47:$E$48</c:f>
              <c:numCache>
                <c:ptCount val="2"/>
                <c:pt idx="0">
                  <c:v>10.238337081733334</c:v>
                </c:pt>
                <c:pt idx="1">
                  <c:v>11.640016453844584</c:v>
                </c:pt>
              </c:numCache>
            </c:numRef>
          </c:yVal>
          <c:smooth val="0"/>
        </c:ser>
        <c:ser>
          <c:idx val="6"/>
          <c:order val="6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(Mono!$F$36,Mono!$F$36)</c:f>
              <c:numCache>
                <c:ptCount val="2"/>
                <c:pt idx="0">
                  <c:v>31.11111111111111</c:v>
                </c:pt>
                <c:pt idx="1">
                  <c:v>31.11111111111111</c:v>
                </c:pt>
              </c:numCache>
            </c:numRef>
          </c:xVal>
          <c:yVal>
            <c:numRef>
              <c:f>Mono!$F$47:$F$48</c:f>
              <c:numCache>
                <c:ptCount val="2"/>
                <c:pt idx="0">
                  <c:v>13.776425459410405</c:v>
                </c:pt>
                <c:pt idx="1">
                  <c:v>15.520021938459449</c:v>
                </c:pt>
              </c:numCache>
            </c:numRef>
          </c:yVal>
          <c:smooth val="0"/>
        </c:ser>
        <c:ser>
          <c:idx val="7"/>
          <c:order val="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(Mono!$G$36,Mono!$G$36)</c:f>
              <c:numCache>
                <c:ptCount val="2"/>
                <c:pt idx="0">
                  <c:v>38.888888888888886</c:v>
                </c:pt>
                <c:pt idx="1">
                  <c:v>38.888888888888886</c:v>
                </c:pt>
              </c:numCache>
            </c:numRef>
          </c:xVal>
          <c:yVal>
            <c:numRef>
              <c:f>Mono!$G$47:$G$48</c:f>
              <c:numCache>
                <c:ptCount val="2"/>
                <c:pt idx="0">
                  <c:v>17.37596871247308</c:v>
                </c:pt>
                <c:pt idx="1">
                  <c:v>19.400027423074306</c:v>
                </c:pt>
              </c:numCache>
            </c:numRef>
          </c:yVal>
          <c:smooth val="0"/>
        </c:ser>
        <c:ser>
          <c:idx val="8"/>
          <c:order val="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(Mono!$H$36,Mono!$H$36)</c:f>
              <c:numCache>
                <c:ptCount val="2"/>
                <c:pt idx="0">
                  <c:v>46.666666666666664</c:v>
                </c:pt>
                <c:pt idx="1">
                  <c:v>46.666666666666664</c:v>
                </c:pt>
              </c:numCache>
            </c:numRef>
          </c:xVal>
          <c:yVal>
            <c:numRef>
              <c:f>Mono!$H$47:$H$48</c:f>
              <c:numCache>
                <c:ptCount val="2"/>
                <c:pt idx="0">
                  <c:v>21.03655377055469</c:v>
                </c:pt>
                <c:pt idx="1">
                  <c:v>23.28003290768917</c:v>
                </c:pt>
              </c:numCache>
            </c:numRef>
          </c:yVal>
          <c:smooth val="0"/>
        </c:ser>
        <c:ser>
          <c:idx val="9"/>
          <c:order val="9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(Mono!$I$36,Mono!$I$36)</c:f>
              <c:numCache>
                <c:ptCount val="2"/>
                <c:pt idx="0">
                  <c:v>54.44444444444444</c:v>
                </c:pt>
                <c:pt idx="1">
                  <c:v>54.44444444444444</c:v>
                </c:pt>
              </c:numCache>
            </c:numRef>
          </c:xVal>
          <c:yVal>
            <c:numRef>
              <c:f>Mono!$I$47:$I$48</c:f>
              <c:numCache>
                <c:ptCount val="2"/>
                <c:pt idx="0">
                  <c:v>24.75796242379073</c:v>
                </c:pt>
                <c:pt idx="1">
                  <c:v>27.16003839230403</c:v>
                </c:pt>
              </c:numCache>
            </c:numRef>
          </c:yVal>
          <c:smooth val="0"/>
        </c:ser>
        <c:ser>
          <c:idx val="10"/>
          <c:order val="1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(Mono!$J$36,Mono!$J$36)</c:f>
              <c:numCache>
                <c:ptCount val="2"/>
                <c:pt idx="0">
                  <c:v>62.22222222222222</c:v>
                </c:pt>
                <c:pt idx="1">
                  <c:v>62.22222222222222</c:v>
                </c:pt>
              </c:numCache>
            </c:numRef>
          </c:xVal>
          <c:yVal>
            <c:numRef>
              <c:f>Mono!$J$47:$J$48</c:f>
              <c:numCache>
                <c:ptCount val="2"/>
                <c:pt idx="0">
                  <c:v>28.540167448011232</c:v>
                </c:pt>
                <c:pt idx="1">
                  <c:v>31.040043876918897</c:v>
                </c:pt>
              </c:numCache>
            </c:numRef>
          </c:yVal>
          <c:smooth val="0"/>
        </c:ser>
        <c:ser>
          <c:idx val="11"/>
          <c:order val="1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(Mono!$K$36,Mono!$K$36)</c:f>
              <c:numCache>
                <c:ptCount val="2"/>
                <c:pt idx="0">
                  <c:v>70</c:v>
                </c:pt>
                <c:pt idx="1">
                  <c:v>70</c:v>
                </c:pt>
              </c:numCache>
            </c:numRef>
          </c:xVal>
          <c:yVal>
            <c:numRef>
              <c:f>Mono!$K$47:$K$48</c:f>
              <c:numCache>
                <c:ptCount val="2"/>
                <c:pt idx="0">
                  <c:v>32.383330909125846</c:v>
                </c:pt>
                <c:pt idx="1">
                  <c:v>34.920049361533756</c:v>
                </c:pt>
              </c:numCache>
            </c:numRef>
          </c:yVal>
          <c:smooth val="0"/>
        </c:ser>
        <c:ser>
          <c:idx val="12"/>
          <c:order val="1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(Mono!$L$36,Mono!$L$36)</c:f>
              <c:numCache>
                <c:ptCount val="2"/>
                <c:pt idx="0">
                  <c:v>77.77777777777777</c:v>
                </c:pt>
                <c:pt idx="1">
                  <c:v>77.77777777777777</c:v>
                </c:pt>
              </c:numCache>
            </c:numRef>
          </c:xVal>
          <c:yVal>
            <c:numRef>
              <c:f>Mono!$L$47:$L$48</c:f>
              <c:numCache>
                <c:ptCount val="2"/>
                <c:pt idx="0">
                  <c:v>36.28780464070468</c:v>
                </c:pt>
                <c:pt idx="1">
                  <c:v>38.80005484614861</c:v>
                </c:pt>
              </c:numCache>
            </c:numRef>
          </c:yVal>
          <c:smooth val="0"/>
        </c:ser>
        <c:ser>
          <c:idx val="13"/>
          <c:order val="1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(Mono!$M$36,Mono!$M$36)</c:f>
              <c:numCache>
                <c:ptCount val="2"/>
                <c:pt idx="0">
                  <c:v>85.55555555555554</c:v>
                </c:pt>
                <c:pt idx="1">
                  <c:v>85.55555555555554</c:v>
                </c:pt>
              </c:numCache>
            </c:numRef>
          </c:xVal>
          <c:yVal>
            <c:numRef>
              <c:f>Mono!$M$47:$M$48</c:f>
              <c:numCache>
                <c:ptCount val="2"/>
                <c:pt idx="0">
                  <c:v>40.25413294677287</c:v>
                </c:pt>
                <c:pt idx="1">
                  <c:v>42.680060330763474</c:v>
                </c:pt>
              </c:numCache>
            </c:numRef>
          </c:yVal>
          <c:smooth val="0"/>
        </c:ser>
        <c:ser>
          <c:idx val="14"/>
          <c:order val="1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(Mono!$N$36,Mono!$N$36)</c:f>
              <c:numCache>
                <c:ptCount val="2"/>
                <c:pt idx="0">
                  <c:v>93.33333333333331</c:v>
                </c:pt>
                <c:pt idx="1">
                  <c:v>93.33333333333331</c:v>
                </c:pt>
              </c:numCache>
            </c:numRef>
          </c:xVal>
          <c:yVal>
            <c:numRef>
              <c:f>Mono!$N$47:$N$48</c:f>
              <c:numCache>
                <c:ptCount val="2"/>
                <c:pt idx="0">
                  <c:v>44.283057643837026</c:v>
                </c:pt>
                <c:pt idx="1">
                  <c:v>46.56006581537833</c:v>
                </c:pt>
              </c:numCache>
            </c:numRef>
          </c:yVal>
          <c:smooth val="0"/>
        </c:ser>
        <c:ser>
          <c:idx val="15"/>
          <c:order val="15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(Mono!$O$36,Mono!$O$36)</c:f>
              <c:numCache>
                <c:ptCount val="2"/>
                <c:pt idx="0">
                  <c:v>101.11111111111109</c:v>
                </c:pt>
                <c:pt idx="1">
                  <c:v>101.11111111111109</c:v>
                </c:pt>
              </c:numCache>
            </c:numRef>
          </c:xVal>
          <c:yVal>
            <c:numRef>
              <c:f>Mono!$O$47:$O$48</c:f>
              <c:numCache>
                <c:ptCount val="2"/>
                <c:pt idx="0">
                  <c:v>48.375525625424245</c:v>
                </c:pt>
                <c:pt idx="1">
                  <c:v>50.44007129999319</c:v>
                </c:pt>
              </c:numCache>
            </c:numRef>
          </c:yVal>
          <c:smooth val="0"/>
        </c:ser>
        <c:ser>
          <c:idx val="16"/>
          <c:order val="16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(Mono!$P$36,Mono!$P$36)</c:f>
              <c:numCache>
                <c:ptCount val="2"/>
                <c:pt idx="0">
                  <c:v>108.88888888888886</c:v>
                </c:pt>
                <c:pt idx="1">
                  <c:v>108.88888888888886</c:v>
                </c:pt>
              </c:numCache>
            </c:numRef>
          </c:xVal>
          <c:yVal>
            <c:numRef>
              <c:f>Mono!$P$47:$P$48</c:f>
              <c:numCache>
                <c:ptCount val="2"/>
                <c:pt idx="0">
                  <c:v>52.53269921293645</c:v>
                </c:pt>
                <c:pt idx="1">
                  <c:v>54.32007678460805</c:v>
                </c:pt>
              </c:numCache>
            </c:numRef>
          </c:yVal>
          <c:smooth val="0"/>
        </c:ser>
        <c:ser>
          <c:idx val="17"/>
          <c:order val="1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(Mono!$Q$36,Mono!$Q$36)</c:f>
              <c:numCache>
                <c:ptCount val="2"/>
                <c:pt idx="0">
                  <c:v>116.66666666666663</c:v>
                </c:pt>
                <c:pt idx="1">
                  <c:v>116.66666666666663</c:v>
                </c:pt>
              </c:numCache>
            </c:numRef>
          </c:xVal>
          <c:yVal>
            <c:numRef>
              <c:f>Mono!$Q$47:$Q$48</c:f>
              <c:numCache>
                <c:ptCount val="2"/>
                <c:pt idx="0">
                  <c:v>56.75596965345386</c:v>
                </c:pt>
                <c:pt idx="1">
                  <c:v>58.20008226922291</c:v>
                </c:pt>
              </c:numCache>
            </c:numRef>
          </c:yVal>
          <c:smooth val="0"/>
        </c:ser>
        <c:ser>
          <c:idx val="18"/>
          <c:order val="18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(Mono!$R$36,Mono!$R$36)</c:f>
              <c:numCache>
                <c:ptCount val="2"/>
                <c:pt idx="0">
                  <c:v>124.4444444444444</c:v>
                </c:pt>
                <c:pt idx="1">
                  <c:v>124.4444444444444</c:v>
                </c:pt>
              </c:numCache>
            </c:numRef>
          </c:xVal>
          <c:yVal>
            <c:numRef>
              <c:f>Mono!$R$47:$R$48</c:f>
              <c:numCache>
                <c:ptCount val="2"/>
                <c:pt idx="0">
                  <c:v>61.04697424491113</c:v>
                </c:pt>
                <c:pt idx="1">
                  <c:v>62.080087753837766</c:v>
                </c:pt>
              </c:numCache>
            </c:numRef>
          </c:y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(Mono!$S$36,Mono!$S$36)</c:f>
              <c:numCache>
                <c:ptCount val="2"/>
                <c:pt idx="0">
                  <c:v>132.22222222222217</c:v>
                </c:pt>
                <c:pt idx="1">
                  <c:v>132.22222222222217</c:v>
                </c:pt>
              </c:numCache>
            </c:numRef>
          </c:xVal>
          <c:yVal>
            <c:numRef>
              <c:f>Mono!$S$47:$S$48</c:f>
              <c:numCache>
                <c:ptCount val="2"/>
                <c:pt idx="0">
                  <c:v>65.40761772083334</c:v>
                </c:pt>
                <c:pt idx="1">
                  <c:v>65.96009323845261</c:v>
                </c:pt>
              </c:numCache>
            </c:numRef>
          </c:yVal>
          <c:smooth val="0"/>
        </c:ser>
        <c:ser>
          <c:idx val="20"/>
          <c:order val="2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(Mono!$T$36,Mono!$T$36)</c:f>
              <c:numCache>
                <c:ptCount val="2"/>
                <c:pt idx="0">
                  <c:v>139.99999999999994</c:v>
                </c:pt>
                <c:pt idx="1">
                  <c:v>139.99999999999994</c:v>
                </c:pt>
              </c:numCache>
            </c:numRef>
          </c:xVal>
          <c:yVal>
            <c:numRef>
              <c:f>Mono!$T$47:$T$48</c:f>
              <c:numCache>
                <c:ptCount val="2"/>
                <c:pt idx="0">
                  <c:v>69.84009872306748</c:v>
                </c:pt>
                <c:pt idx="1">
                  <c:v>69.84009872306748</c:v>
                </c:pt>
              </c:numCache>
            </c:numRef>
          </c:yVal>
          <c:smooth val="0"/>
        </c:ser>
        <c:axId val="50482399"/>
        <c:axId val="51688408"/>
      </c:scatterChart>
      <c:valAx>
        <c:axId val="504823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88408"/>
        <c:crosses val="autoZero"/>
        <c:crossBetween val="midCat"/>
        <c:dispUnits/>
      </c:valAx>
      <c:valAx>
        <c:axId val="51688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04823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0.05525"/>
          <c:y val="0.1715"/>
          <c:w val="0.292"/>
          <c:h val="0.07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Lang!$A$75</c:f>
              <c:strCache>
                <c:ptCount val="1"/>
                <c:pt idx="0">
                  <c:v>Résistance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Mono!$C$52:$T$52</c:f>
              <c:numCache>
                <c:ptCount val="18"/>
                <c:pt idx="0">
                  <c:v>7.777777777777778</c:v>
                </c:pt>
                <c:pt idx="1">
                  <c:v>15.555555555555555</c:v>
                </c:pt>
                <c:pt idx="2">
                  <c:v>23.333333333333332</c:v>
                </c:pt>
                <c:pt idx="3">
                  <c:v>31.11111111111111</c:v>
                </c:pt>
                <c:pt idx="4">
                  <c:v>38.888888888888886</c:v>
                </c:pt>
                <c:pt idx="5">
                  <c:v>46.666666666666664</c:v>
                </c:pt>
                <c:pt idx="6">
                  <c:v>54.44444444444444</c:v>
                </c:pt>
                <c:pt idx="7">
                  <c:v>62.22222222222222</c:v>
                </c:pt>
                <c:pt idx="8">
                  <c:v>70</c:v>
                </c:pt>
                <c:pt idx="9">
                  <c:v>77.77777777777777</c:v>
                </c:pt>
                <c:pt idx="10">
                  <c:v>85.55555555555554</c:v>
                </c:pt>
                <c:pt idx="11">
                  <c:v>93.33333333333331</c:v>
                </c:pt>
                <c:pt idx="12">
                  <c:v>101.11111111111109</c:v>
                </c:pt>
                <c:pt idx="13">
                  <c:v>108.88888888888886</c:v>
                </c:pt>
                <c:pt idx="14">
                  <c:v>116.66666666666663</c:v>
                </c:pt>
                <c:pt idx="15">
                  <c:v>124.4444444444444</c:v>
                </c:pt>
                <c:pt idx="16">
                  <c:v>132.22222222222217</c:v>
                </c:pt>
                <c:pt idx="17">
                  <c:v>139.99999999999994</c:v>
                </c:pt>
              </c:numCache>
            </c:numRef>
          </c:xVal>
          <c:yVal>
            <c:numRef>
              <c:f>Mono!$C$54:$T$54</c:f>
              <c:numCache>
                <c:ptCount val="18"/>
                <c:pt idx="0">
                  <c:v>27.559054097532186</c:v>
                </c:pt>
                <c:pt idx="1">
                  <c:v>27.82210680938302</c:v>
                </c:pt>
                <c:pt idx="2">
                  <c:v>28.08229599561143</c:v>
                </c:pt>
                <c:pt idx="3">
                  <c:v>28.340075230787118</c:v>
                </c:pt>
                <c:pt idx="4">
                  <c:v>28.595879938241417</c:v>
                </c:pt>
                <c:pt idx="5">
                  <c:v>28.85013088533215</c:v>
                </c:pt>
                <c:pt idx="6">
                  <c:v>29.103237461435633</c:v>
                </c:pt>
                <c:pt idx="7">
                  <c:v>29.355600803668697</c:v>
                </c:pt>
                <c:pt idx="8">
                  <c:v>29.607616831200772</c:v>
                </c:pt>
                <c:pt idx="9">
                  <c:v>29.859679247208422</c:v>
                </c:pt>
                <c:pt idx="10">
                  <c:v>30.112182567975555</c:v>
                </c:pt>
                <c:pt idx="11">
                  <c:v>30.365525241488253</c:v>
                </c:pt>
                <c:pt idx="12">
                  <c:v>30.620112923345463</c:v>
                </c:pt>
                <c:pt idx="13">
                  <c:v>30.876361986378985</c:v>
                </c:pt>
                <c:pt idx="14">
                  <c:v>31.134703352751842</c:v>
                </c:pt>
                <c:pt idx="15">
                  <c:v>31.395586754525734</c:v>
                </c:pt>
                <c:pt idx="16">
                  <c:v>31.659485552268926</c:v>
                </c:pt>
                <c:pt idx="17">
                  <c:v>31.92690227340229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Mono!$A$55</c:f>
              <c:strCache>
                <c:ptCount val="1"/>
                <c:pt idx="0">
                  <c:v>Comparaison linéaire Y=0,033*X+27,30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(Mono!$C$52,Mono!$T$52)</c:f>
              <c:numCache>
                <c:ptCount val="2"/>
                <c:pt idx="0">
                  <c:v>7.777777777777778</c:v>
                </c:pt>
                <c:pt idx="1">
                  <c:v>139.99999999999994</c:v>
                </c:pt>
              </c:numCache>
            </c:numRef>
          </c:xVal>
          <c:yVal>
            <c:numRef>
              <c:f>(Mono!$C$55,Mono!$T$55)</c:f>
              <c:numCache>
                <c:ptCount val="2"/>
                <c:pt idx="0">
                  <c:v>27.559054097532186</c:v>
                </c:pt>
                <c:pt idx="1">
                  <c:v>31.92690227340229</c:v>
                </c:pt>
              </c:numCache>
            </c:numRef>
          </c:yVal>
          <c:smooth val="0"/>
        </c:ser>
        <c:axId val="62542489"/>
        <c:axId val="26011490"/>
      </c:scatterChart>
      <c:valAx>
        <c:axId val="625424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11490"/>
        <c:crosses val="autoZero"/>
        <c:crossBetween val="midCat"/>
        <c:dispUnits/>
      </c:valAx>
      <c:valAx>
        <c:axId val="26011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42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5225"/>
          <c:y val="0.161"/>
          <c:w val="0.31675"/>
          <c:h val="0.07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ClassicBi!$A$39</c:f>
              <c:strCache>
                <c:ptCount val="1"/>
                <c:pt idx="0">
                  <c:v>Compression amortisseur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ClassicBi!$B$32:$T$32</c:f>
              <c:numCache>
                <c:ptCount val="19"/>
                <c:pt idx="0">
                  <c:v>0</c:v>
                </c:pt>
                <c:pt idx="1">
                  <c:v>7.777777777777778</c:v>
                </c:pt>
                <c:pt idx="2">
                  <c:v>15.555555555555555</c:v>
                </c:pt>
                <c:pt idx="3">
                  <c:v>23.333333333333332</c:v>
                </c:pt>
                <c:pt idx="4">
                  <c:v>31.11111111111111</c:v>
                </c:pt>
                <c:pt idx="5">
                  <c:v>38.888888888888886</c:v>
                </c:pt>
                <c:pt idx="6">
                  <c:v>46.666666666666664</c:v>
                </c:pt>
                <c:pt idx="7">
                  <c:v>54.44444444444444</c:v>
                </c:pt>
                <c:pt idx="8">
                  <c:v>62.22222222222222</c:v>
                </c:pt>
                <c:pt idx="9">
                  <c:v>70</c:v>
                </c:pt>
                <c:pt idx="10">
                  <c:v>77.77777777777777</c:v>
                </c:pt>
                <c:pt idx="11">
                  <c:v>85.55555555555554</c:v>
                </c:pt>
                <c:pt idx="12">
                  <c:v>93.33333333333331</c:v>
                </c:pt>
                <c:pt idx="13">
                  <c:v>101.11111111111109</c:v>
                </c:pt>
                <c:pt idx="14">
                  <c:v>108.88888888888886</c:v>
                </c:pt>
                <c:pt idx="15">
                  <c:v>116.66666666666663</c:v>
                </c:pt>
                <c:pt idx="16">
                  <c:v>124.4444444444444</c:v>
                </c:pt>
                <c:pt idx="17">
                  <c:v>132.22222222222217</c:v>
                </c:pt>
                <c:pt idx="18">
                  <c:v>139.99999999999994</c:v>
                </c:pt>
              </c:numCache>
            </c:numRef>
          </c:xVal>
          <c:yVal>
            <c:numRef>
              <c:f>ClassicBi!$B$39:$T$39</c:f>
              <c:numCache>
                <c:ptCount val="19"/>
                <c:pt idx="0">
                  <c:v>0</c:v>
                </c:pt>
                <c:pt idx="1">
                  <c:v>6.492897961698645</c:v>
                </c:pt>
                <c:pt idx="2">
                  <c:v>12.99398804314933</c:v>
                </c:pt>
                <c:pt idx="3">
                  <c:v>19.50427129316472</c:v>
                </c:pt>
                <c:pt idx="4">
                  <c:v>26.02474682871224</c:v>
                </c:pt>
                <c:pt idx="5">
                  <c:v>32.55641331478694</c:v>
                </c:pt>
                <c:pt idx="6">
                  <c:v>39.10027036483558</c:v>
                </c:pt>
                <c:pt idx="7">
                  <c:v>45.65731985852085</c:v>
                </c:pt>
                <c:pt idx="8">
                  <c:v>52.2285671706162</c:v>
                </c:pt>
                <c:pt idx="9">
                  <c:v>58.815022301226804</c:v>
                </c:pt>
                <c:pt idx="10">
                  <c:v>65.41770089312973</c:v>
                </c:pt>
                <c:pt idx="11">
                  <c:v>72.03762511654878</c:v>
                </c:pt>
                <c:pt idx="12">
                  <c:v>78.67582439480023</c:v>
                </c:pt>
                <c:pt idx="13">
                  <c:v>85.33333593548522</c:v>
                </c:pt>
                <c:pt idx="14">
                  <c:v>92.01120502066573</c:v>
                </c:pt>
                <c:pt idx="15">
                  <c:v>98.71048499490479</c:v>
                </c:pt>
                <c:pt idx="16">
                  <c:v>105.43223687103531</c:v>
                </c:pt>
                <c:pt idx="17">
                  <c:v>112.17752844849096</c:v>
                </c:pt>
                <c:pt idx="18">
                  <c:v>118.9474328057816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ClassicBi!$A$40</c:f>
              <c:strCache>
                <c:ptCount val="1"/>
                <c:pt idx="0">
                  <c:v>Comparaison linéaire Y=0,850*X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(ClassicBi!$B$32,ClassicBi!$T$32)</c:f>
              <c:numCache>
                <c:ptCount val="2"/>
                <c:pt idx="0">
                  <c:v>0</c:v>
                </c:pt>
                <c:pt idx="1">
                  <c:v>139.99999999999994</c:v>
                </c:pt>
              </c:numCache>
            </c:numRef>
          </c:xVal>
          <c:yVal>
            <c:numRef>
              <c:f>(ClassicBi!$B$39,ClassicBi!$T$39)</c:f>
              <c:numCache>
                <c:ptCount val="2"/>
                <c:pt idx="0">
                  <c:v>0</c:v>
                </c:pt>
                <c:pt idx="1">
                  <c:v>118.9474328057816</c:v>
                </c:pt>
              </c:numCache>
            </c:numRef>
          </c:yVal>
          <c:smooth val="0"/>
        </c:ser>
        <c:axId val="32776819"/>
        <c:axId val="26555916"/>
      </c:scatterChart>
      <c:valAx>
        <c:axId val="327768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555916"/>
        <c:crosses val="autoZero"/>
        <c:crossBetween val="midCat"/>
        <c:dispUnits/>
      </c:valAx>
      <c:valAx>
        <c:axId val="26555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768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225"/>
          <c:y val="0.1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Lang!$A$75</c:f>
              <c:strCache>
                <c:ptCount val="1"/>
                <c:pt idx="0">
                  <c:v>Résistance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ClassicBi!$C$45:$T$45</c:f>
              <c:numCache>
                <c:ptCount val="18"/>
                <c:pt idx="0">
                  <c:v>7.777777777777778</c:v>
                </c:pt>
                <c:pt idx="1">
                  <c:v>15.555555555555555</c:v>
                </c:pt>
                <c:pt idx="2">
                  <c:v>23.333333333333332</c:v>
                </c:pt>
                <c:pt idx="3">
                  <c:v>31.11111111111111</c:v>
                </c:pt>
                <c:pt idx="4">
                  <c:v>38.888888888888886</c:v>
                </c:pt>
                <c:pt idx="5">
                  <c:v>46.666666666666664</c:v>
                </c:pt>
                <c:pt idx="6">
                  <c:v>54.44444444444444</c:v>
                </c:pt>
                <c:pt idx="7">
                  <c:v>62.22222222222222</c:v>
                </c:pt>
                <c:pt idx="8">
                  <c:v>70</c:v>
                </c:pt>
                <c:pt idx="9">
                  <c:v>77.77777777777777</c:v>
                </c:pt>
                <c:pt idx="10">
                  <c:v>85.55555555555554</c:v>
                </c:pt>
                <c:pt idx="11">
                  <c:v>93.33333333333331</c:v>
                </c:pt>
                <c:pt idx="12">
                  <c:v>101.11111111111109</c:v>
                </c:pt>
                <c:pt idx="13">
                  <c:v>108.88888888888886</c:v>
                </c:pt>
                <c:pt idx="14">
                  <c:v>116.66666666666663</c:v>
                </c:pt>
                <c:pt idx="15">
                  <c:v>124.4444444444444</c:v>
                </c:pt>
                <c:pt idx="16">
                  <c:v>132.22222222222217</c:v>
                </c:pt>
                <c:pt idx="17">
                  <c:v>139.99999999999994</c:v>
                </c:pt>
              </c:numCache>
            </c:numRef>
          </c:xVal>
          <c:yVal>
            <c:numRef>
              <c:f>ClassicBi!$C$47:$T$47</c:f>
              <c:numCache>
                <c:ptCount val="18"/>
                <c:pt idx="0">
                  <c:v>39.06869459239242</c:v>
                </c:pt>
                <c:pt idx="1">
                  <c:v>39.09334116981784</c:v>
                </c:pt>
                <c:pt idx="2">
                  <c:v>39.119995565147526</c:v>
                </c:pt>
                <c:pt idx="3">
                  <c:v>39.14865487233426</c:v>
                </c:pt>
                <c:pt idx="4">
                  <c:v>39.179317966252164</c:v>
                </c:pt>
                <c:pt idx="5">
                  <c:v>39.21198542302083</c:v>
                </c:pt>
                <c:pt idx="6">
                  <c:v>39.246659437569356</c:v>
                </c:pt>
                <c:pt idx="7">
                  <c:v>39.2833437361849</c:v>
                </c:pt>
                <c:pt idx="8">
                  <c:v>39.32204348139163</c:v>
                </c:pt>
                <c:pt idx="9">
                  <c:v>39.36276516598035</c:v>
                </c:pt>
                <c:pt idx="10">
                  <c:v>39.40551649232513</c:v>
                </c:pt>
                <c:pt idx="11">
                  <c:v>39.45030623224984</c:v>
                </c:pt>
                <c:pt idx="12">
                  <c:v>39.497144061567454</c:v>
                </c:pt>
                <c:pt idx="13">
                  <c:v>39.546040361943284</c:v>
                </c:pt>
                <c:pt idx="14">
                  <c:v>39.59700598081324</c:v>
                </c:pt>
                <c:pt idx="15">
                  <c:v>39.650051937571504</c:v>
                </c:pt>
                <c:pt idx="16">
                  <c:v>39.70518906092808</c:v>
                </c:pt>
                <c:pt idx="17">
                  <c:v>39.76242753793272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ClassicBi!$A$48</c:f>
              <c:strCache>
                <c:ptCount val="1"/>
                <c:pt idx="0">
                  <c:v>Comparaison linéaire Y=0,005*X+39,03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(ClassicBi!$C$45,ClassicBi!$T$45)</c:f>
              <c:numCache>
                <c:ptCount val="2"/>
                <c:pt idx="0">
                  <c:v>7.777777777777778</c:v>
                </c:pt>
                <c:pt idx="1">
                  <c:v>139.99999999999994</c:v>
                </c:pt>
              </c:numCache>
            </c:numRef>
          </c:xVal>
          <c:yVal>
            <c:numRef>
              <c:f>(ClassicBi!$C$47,ClassicBi!$T$47)</c:f>
              <c:numCache>
                <c:ptCount val="2"/>
                <c:pt idx="0">
                  <c:v>39.06869459239242</c:v>
                </c:pt>
                <c:pt idx="1">
                  <c:v>39.76242753793272</c:v>
                </c:pt>
              </c:numCache>
            </c:numRef>
          </c:yVal>
          <c:smooth val="0"/>
        </c:ser>
        <c:axId val="37676653"/>
        <c:axId val="3545558"/>
      </c:scatterChart>
      <c:valAx>
        <c:axId val="376766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5558"/>
        <c:crosses val="autoZero"/>
        <c:crossBetween val="midCat"/>
        <c:dispUnits/>
      </c:valAx>
      <c:valAx>
        <c:axId val="3545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766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5"/>
          <c:y val="0.12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</xdr:row>
      <xdr:rowOff>19050</xdr:rowOff>
    </xdr:from>
    <xdr:to>
      <xdr:col>19</xdr:col>
      <xdr:colOff>285750</xdr:colOff>
      <xdr:row>21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200025"/>
          <a:ext cx="5295900" cy="3629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38100</xdr:rowOff>
    </xdr:from>
    <xdr:to>
      <xdr:col>16</xdr:col>
      <xdr:colOff>381000</xdr:colOff>
      <xdr:row>24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38100"/>
          <a:ext cx="5172075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3"/>
  <sheetViews>
    <sheetView tabSelected="1" workbookViewId="0" topLeftCell="A1">
      <selection activeCell="B2" sqref="B2:C2"/>
    </sheetView>
  </sheetViews>
  <sheetFormatPr defaultColWidth="11.421875" defaultRowHeight="12.75"/>
  <cols>
    <col min="1" max="1" width="38.7109375" style="0" customWidth="1"/>
    <col min="2" max="20" width="6.28125" style="0" customWidth="1"/>
    <col min="21" max="21" width="5.7109375" style="0" customWidth="1"/>
    <col min="22" max="22" width="4.57421875" style="0" customWidth="1"/>
    <col min="23" max="33" width="10.28125" style="0" customWidth="1"/>
    <col min="34" max="34" width="31.28125" style="0" bestFit="1" customWidth="1"/>
    <col min="35" max="35" width="11.00390625" style="0" customWidth="1"/>
    <col min="36" max="46" width="10.7109375" style="0" customWidth="1"/>
    <col min="47" max="49" width="6.7109375" style="0" customWidth="1"/>
  </cols>
  <sheetData>
    <row r="1" spans="1:3" ht="14.25" thickBot="1" thickTop="1">
      <c r="A1" s="58" t="str">
        <f>Lang!A51</f>
        <v>Langue/Language/Sprache ===&gt;</v>
      </c>
      <c r="B1" s="156" t="s">
        <v>109</v>
      </c>
      <c r="C1" s="157"/>
    </row>
    <row r="2" spans="1:34" ht="33.75" customHeight="1" thickBot="1" thickTop="1">
      <c r="A2" s="61" t="str">
        <f>Lang!A2&amp;CHAR(10)&amp;Lang!A3</f>
        <v>CHOIX MOTO ===&gt;
(Gauche=calcul - Droite=comparaison)</v>
      </c>
      <c r="B2" s="145" t="s">
        <v>58</v>
      </c>
      <c r="C2" s="146"/>
      <c r="D2" s="149" t="s">
        <v>59</v>
      </c>
      <c r="E2" s="150"/>
      <c r="F2" s="60" t="str">
        <f>Lang!A4&amp;CHAR(10)&amp;Lang!A5</f>
        <v>Diff.
&gt;1</v>
      </c>
      <c r="G2" s="29"/>
      <c r="V2" s="25"/>
      <c r="W2" s="31" t="s">
        <v>62</v>
      </c>
      <c r="X2" s="32" t="s">
        <v>63</v>
      </c>
      <c r="Y2" s="32" t="s">
        <v>64</v>
      </c>
      <c r="Z2" s="32" t="s">
        <v>65</v>
      </c>
      <c r="AA2" s="32" t="s">
        <v>330</v>
      </c>
      <c r="AB2" s="32" t="s">
        <v>55</v>
      </c>
      <c r="AC2" s="32" t="s">
        <v>72</v>
      </c>
      <c r="AD2" s="32" t="s">
        <v>56</v>
      </c>
      <c r="AE2" s="32" t="s">
        <v>57</v>
      </c>
      <c r="AF2" s="32" t="s">
        <v>58</v>
      </c>
      <c r="AG2" s="32" t="s">
        <v>59</v>
      </c>
      <c r="AH2" s="51"/>
    </row>
    <row r="3" spans="1:34" ht="13.5" thickTop="1">
      <c r="A3" s="30" t="s">
        <v>0</v>
      </c>
      <c r="B3" s="151">
        <f aca="true" t="shared" si="0" ref="B3:B14">HLOOKUP(B$2,donnees,ROW(B3)-ROW($B$2)+1,FALSE)</f>
        <v>312</v>
      </c>
      <c r="C3" s="152"/>
      <c r="D3" s="147">
        <f aca="true" t="shared" si="1" ref="D3:D14">HLOOKUP(D$2,donnees,ROW(D3)-ROW($B$2)+1,FALSE)</f>
        <v>312</v>
      </c>
      <c r="E3" s="148"/>
      <c r="F3" s="47">
        <f>B3-D3</f>
        <v>0</v>
      </c>
      <c r="G3" s="5"/>
      <c r="V3" s="55" t="str">
        <f>+A3</f>
        <v>AB</v>
      </c>
      <c r="W3" s="10"/>
      <c r="X3" s="5"/>
      <c r="Y3" s="5"/>
      <c r="Z3" s="5"/>
      <c r="AA3" s="5"/>
      <c r="AB3" s="5">
        <v>153</v>
      </c>
      <c r="AC3" s="5">
        <v>305.5</v>
      </c>
      <c r="AD3" s="5">
        <v>312.5</v>
      </c>
      <c r="AE3" s="5">
        <v>312.5</v>
      </c>
      <c r="AF3" s="5">
        <v>312</v>
      </c>
      <c r="AG3" s="5">
        <v>312</v>
      </c>
      <c r="AH3" s="54" t="str">
        <f>A3</f>
        <v>AB</v>
      </c>
    </row>
    <row r="4" spans="1:34" ht="12.75">
      <c r="A4" s="30" t="s">
        <v>29</v>
      </c>
      <c r="B4" s="151">
        <f t="shared" si="0"/>
        <v>228.736</v>
      </c>
      <c r="C4" s="152"/>
      <c r="D4" s="147">
        <f t="shared" si="1"/>
        <v>228.736</v>
      </c>
      <c r="E4" s="148"/>
      <c r="F4" s="47">
        <f aca="true" t="shared" si="2" ref="F4:F14">B4-D4</f>
        <v>0</v>
      </c>
      <c r="G4" s="5"/>
      <c r="O4" t="s">
        <v>109</v>
      </c>
      <c r="V4" s="55" t="str">
        <f aca="true" t="shared" si="3" ref="V4:V12">+A4</f>
        <v>AD</v>
      </c>
      <c r="W4" s="10"/>
      <c r="X4" s="5"/>
      <c r="Y4" s="5"/>
      <c r="Z4" s="5"/>
      <c r="AA4" s="5"/>
      <c r="AB4" s="5">
        <v>115</v>
      </c>
      <c r="AC4" s="5">
        <v>235.1</v>
      </c>
      <c r="AD4" s="5">
        <v>228.5</v>
      </c>
      <c r="AE4" s="5">
        <v>228.5</v>
      </c>
      <c r="AF4" s="5">
        <v>228.736</v>
      </c>
      <c r="AG4" s="5">
        <v>228.736</v>
      </c>
      <c r="AH4" s="54" t="str">
        <f aca="true" t="shared" si="4" ref="AH4:AH14">A4</f>
        <v>AD</v>
      </c>
    </row>
    <row r="5" spans="1:34" ht="12.75">
      <c r="A5" s="30" t="s">
        <v>30</v>
      </c>
      <c r="B5" s="151">
        <f t="shared" si="0"/>
        <v>130.08</v>
      </c>
      <c r="C5" s="152"/>
      <c r="D5" s="147">
        <f t="shared" si="1"/>
        <v>130.08</v>
      </c>
      <c r="E5" s="148"/>
      <c r="F5" s="47">
        <f t="shared" si="2"/>
        <v>0</v>
      </c>
      <c r="G5" s="5"/>
      <c r="O5" t="s">
        <v>110</v>
      </c>
      <c r="V5" s="55" t="str">
        <f t="shared" si="3"/>
        <v>AP</v>
      </c>
      <c r="W5" s="10"/>
      <c r="X5" s="5"/>
      <c r="Y5" s="5"/>
      <c r="Z5" s="5"/>
      <c r="AA5" s="5"/>
      <c r="AB5" s="5">
        <v>66</v>
      </c>
      <c r="AC5" s="5">
        <v>125.1</v>
      </c>
      <c r="AD5" s="5">
        <v>129</v>
      </c>
      <c r="AE5" s="5">
        <v>129</v>
      </c>
      <c r="AF5" s="5">
        <v>130.08</v>
      </c>
      <c r="AG5" s="5">
        <v>130.08</v>
      </c>
      <c r="AH5" s="54" t="str">
        <f t="shared" si="4"/>
        <v>AP</v>
      </c>
    </row>
    <row r="6" spans="1:34" ht="12.75">
      <c r="A6" s="30" t="s">
        <v>31</v>
      </c>
      <c r="B6" s="151">
        <f t="shared" si="0"/>
        <v>92.5</v>
      </c>
      <c r="C6" s="152"/>
      <c r="D6" s="147">
        <f t="shared" si="1"/>
        <v>92.5</v>
      </c>
      <c r="E6" s="148"/>
      <c r="F6" s="47">
        <f t="shared" si="2"/>
        <v>0</v>
      </c>
      <c r="G6" s="5"/>
      <c r="O6" t="s">
        <v>111</v>
      </c>
      <c r="V6" s="55" t="str">
        <f t="shared" si="3"/>
        <v>BC</v>
      </c>
      <c r="W6" s="10"/>
      <c r="X6" s="5"/>
      <c r="Y6" s="5"/>
      <c r="Z6" s="5"/>
      <c r="AA6" s="5"/>
      <c r="AB6" s="5">
        <v>46</v>
      </c>
      <c r="AC6" s="5">
        <v>90.5</v>
      </c>
      <c r="AD6" s="5">
        <v>92.1</v>
      </c>
      <c r="AE6" s="5">
        <v>92.1</v>
      </c>
      <c r="AF6" s="5">
        <v>92.5</v>
      </c>
      <c r="AG6" s="5">
        <v>92.5</v>
      </c>
      <c r="AH6" s="54" t="str">
        <f t="shared" si="4"/>
        <v>BC</v>
      </c>
    </row>
    <row r="7" spans="1:34" ht="12.75">
      <c r="A7" s="30" t="s">
        <v>32</v>
      </c>
      <c r="B7" s="151">
        <f t="shared" si="0"/>
        <v>135.35</v>
      </c>
      <c r="C7" s="152"/>
      <c r="D7" s="147">
        <f t="shared" si="1"/>
        <v>135.35</v>
      </c>
      <c r="E7" s="148"/>
      <c r="F7" s="47">
        <f t="shared" si="2"/>
        <v>0</v>
      </c>
      <c r="G7" s="5"/>
      <c r="V7" s="55" t="str">
        <f t="shared" si="3"/>
        <v>BD</v>
      </c>
      <c r="W7" s="10"/>
      <c r="X7" s="5"/>
      <c r="Y7" s="5"/>
      <c r="Z7" s="5"/>
      <c r="AA7" s="5"/>
      <c r="AB7" s="5">
        <v>66</v>
      </c>
      <c r="AC7" s="5">
        <v>135</v>
      </c>
      <c r="AD7" s="5">
        <v>134.7</v>
      </c>
      <c r="AE7" s="5">
        <v>134.7</v>
      </c>
      <c r="AF7" s="5">
        <v>135.35</v>
      </c>
      <c r="AG7" s="5">
        <v>135.35</v>
      </c>
      <c r="AH7" s="54" t="str">
        <f t="shared" si="4"/>
        <v>BD</v>
      </c>
    </row>
    <row r="8" spans="1:34" ht="12.75">
      <c r="A8" s="30" t="s">
        <v>28</v>
      </c>
      <c r="B8" s="151">
        <f t="shared" si="0"/>
        <v>43.5</v>
      </c>
      <c r="C8" s="152"/>
      <c r="D8" s="147">
        <f t="shared" si="1"/>
        <v>43.5</v>
      </c>
      <c r="E8" s="148"/>
      <c r="F8" s="47">
        <f t="shared" si="2"/>
        <v>0</v>
      </c>
      <c r="G8" s="5"/>
      <c r="V8" s="55" t="str">
        <f t="shared" si="3"/>
        <v>CD</v>
      </c>
      <c r="W8" s="10"/>
      <c r="X8" s="5"/>
      <c r="Y8" s="5"/>
      <c r="Z8" s="5"/>
      <c r="AA8" s="5"/>
      <c r="AB8" s="5">
        <v>21</v>
      </c>
      <c r="AC8" s="5">
        <v>45</v>
      </c>
      <c r="AD8" s="5">
        <v>43.5</v>
      </c>
      <c r="AE8" s="5">
        <v>43.5</v>
      </c>
      <c r="AF8" s="5">
        <v>43.5</v>
      </c>
      <c r="AG8" s="5">
        <v>43.5</v>
      </c>
      <c r="AH8" s="54" t="str">
        <f t="shared" si="4"/>
        <v>CD</v>
      </c>
    </row>
    <row r="9" spans="1:34" ht="12.75">
      <c r="A9" s="30" t="s">
        <v>27</v>
      </c>
      <c r="B9" s="151">
        <f t="shared" si="0"/>
        <v>189</v>
      </c>
      <c r="C9" s="152"/>
      <c r="D9" s="147">
        <f t="shared" si="1"/>
        <v>189</v>
      </c>
      <c r="E9" s="148"/>
      <c r="F9" s="47">
        <f t="shared" si="2"/>
        <v>0</v>
      </c>
      <c r="G9" s="5"/>
      <c r="V9" s="55" t="str">
        <f t="shared" si="3"/>
        <v>CE</v>
      </c>
      <c r="W9" s="10"/>
      <c r="X9" s="5"/>
      <c r="Y9" s="5"/>
      <c r="Z9" s="5"/>
      <c r="AA9" s="5">
        <v>180</v>
      </c>
      <c r="AB9" s="5">
        <v>93</v>
      </c>
      <c r="AC9" s="5">
        <v>190</v>
      </c>
      <c r="AD9" s="5">
        <v>189</v>
      </c>
      <c r="AE9" s="5">
        <v>189</v>
      </c>
      <c r="AF9" s="5">
        <v>189</v>
      </c>
      <c r="AG9" s="5">
        <v>189</v>
      </c>
      <c r="AH9" s="54" t="str">
        <f t="shared" si="4"/>
        <v>CE</v>
      </c>
    </row>
    <row r="10" spans="1:34" ht="12.75">
      <c r="A10" s="30" t="s">
        <v>25</v>
      </c>
      <c r="B10" s="151">
        <f t="shared" si="0"/>
        <v>103.17</v>
      </c>
      <c r="C10" s="152"/>
      <c r="D10" s="147">
        <f t="shared" si="1"/>
        <v>103.17</v>
      </c>
      <c r="E10" s="148"/>
      <c r="F10" s="47">
        <f t="shared" si="2"/>
        <v>0</v>
      </c>
      <c r="G10" s="5"/>
      <c r="V10" s="55" t="str">
        <f t="shared" si="3"/>
        <v>DP</v>
      </c>
      <c r="W10" s="10"/>
      <c r="X10" s="5"/>
      <c r="Y10" s="5"/>
      <c r="Z10" s="5"/>
      <c r="AA10" s="5"/>
      <c r="AB10" s="5">
        <v>50</v>
      </c>
      <c r="AC10" s="5">
        <v>110</v>
      </c>
      <c r="AD10" s="5">
        <v>104</v>
      </c>
      <c r="AE10" s="5">
        <v>104</v>
      </c>
      <c r="AF10" s="5">
        <v>103.17</v>
      </c>
      <c r="AG10" s="5">
        <v>103.17</v>
      </c>
      <c r="AH10" s="54" t="str">
        <f t="shared" si="4"/>
        <v>DP</v>
      </c>
    </row>
    <row r="11" spans="1:34" ht="12.75">
      <c r="A11" s="30" t="s">
        <v>26</v>
      </c>
      <c r="B11" s="151">
        <f t="shared" si="0"/>
        <v>155</v>
      </c>
      <c r="C11" s="152"/>
      <c r="D11" s="147">
        <f t="shared" si="1"/>
        <v>155</v>
      </c>
      <c r="E11" s="148"/>
      <c r="F11" s="47">
        <f t="shared" si="2"/>
        <v>0</v>
      </c>
      <c r="G11" s="5"/>
      <c r="V11" s="55" t="str">
        <f t="shared" si="3"/>
        <v>EP</v>
      </c>
      <c r="W11" s="10"/>
      <c r="X11" s="5"/>
      <c r="Y11" s="5"/>
      <c r="Z11" s="5"/>
      <c r="AA11" s="5"/>
      <c r="AB11" s="5">
        <v>75</v>
      </c>
      <c r="AC11" s="5">
        <v>155.4</v>
      </c>
      <c r="AD11" s="5">
        <v>158.5</v>
      </c>
      <c r="AE11" s="5">
        <v>158.5</v>
      </c>
      <c r="AF11" s="5">
        <v>155</v>
      </c>
      <c r="AG11" s="5">
        <v>155</v>
      </c>
      <c r="AH11" s="54" t="str">
        <f t="shared" si="4"/>
        <v>EP</v>
      </c>
    </row>
    <row r="12" spans="1:34" ht="12.75">
      <c r="A12" s="30" t="s">
        <v>24</v>
      </c>
      <c r="B12" s="151">
        <f t="shared" si="0"/>
        <v>585.6</v>
      </c>
      <c r="C12" s="152"/>
      <c r="D12" s="147">
        <f t="shared" si="1"/>
        <v>591.6</v>
      </c>
      <c r="E12" s="148"/>
      <c r="F12" s="47">
        <f t="shared" si="2"/>
        <v>-6</v>
      </c>
      <c r="G12" s="5"/>
      <c r="V12" s="55" t="str">
        <f t="shared" si="3"/>
        <v>OP</v>
      </c>
      <c r="W12" s="10"/>
      <c r="X12" s="5"/>
      <c r="Y12" s="5"/>
      <c r="Z12" s="5"/>
      <c r="AA12" s="5"/>
      <c r="AB12" s="5">
        <v>276</v>
      </c>
      <c r="AC12" s="5">
        <v>535</v>
      </c>
      <c r="AD12" s="5">
        <v>553.4</v>
      </c>
      <c r="AE12" s="5">
        <f>AD12+6</f>
        <v>559.4</v>
      </c>
      <c r="AF12" s="5">
        <v>585.6</v>
      </c>
      <c r="AG12" s="5">
        <f>AF12+6</f>
        <v>591.6</v>
      </c>
      <c r="AH12" s="54" t="str">
        <f t="shared" si="4"/>
        <v>OP</v>
      </c>
    </row>
    <row r="13" spans="1:34" ht="12.75">
      <c r="A13" s="48" t="str">
        <f>Lang!A6</f>
        <v>Inclinaison PO % horizontale (-+) D°</v>
      </c>
      <c r="B13" s="151">
        <f t="shared" si="0"/>
        <v>-8</v>
      </c>
      <c r="C13" s="152"/>
      <c r="D13" s="147">
        <f t="shared" si="1"/>
        <v>-8</v>
      </c>
      <c r="E13" s="148"/>
      <c r="F13" s="47">
        <f t="shared" si="2"/>
        <v>0</v>
      </c>
      <c r="G13" s="5"/>
      <c r="V13" s="55" t="s">
        <v>73</v>
      </c>
      <c r="W13" s="10"/>
      <c r="X13" s="5"/>
      <c r="Y13" s="5"/>
      <c r="Z13" s="5"/>
      <c r="AA13" s="5"/>
      <c r="AB13" s="5">
        <v>-8</v>
      </c>
      <c r="AC13" s="5">
        <v>-5.6</v>
      </c>
      <c r="AD13" s="5">
        <v>-8</v>
      </c>
      <c r="AE13" s="5">
        <v>-8</v>
      </c>
      <c r="AF13" s="5">
        <v>-8</v>
      </c>
      <c r="AG13" s="5">
        <v>-8</v>
      </c>
      <c r="AH13" s="52" t="str">
        <f t="shared" si="4"/>
        <v>Inclinaison PO % horizontale (-+) D°</v>
      </c>
    </row>
    <row r="14" spans="1:34" ht="12.75">
      <c r="A14" s="49" t="str">
        <f>Lang!A7</f>
        <v>Débattement de roue max (mm)</v>
      </c>
      <c r="B14" s="151">
        <f t="shared" si="0"/>
        <v>158</v>
      </c>
      <c r="C14" s="152"/>
      <c r="D14" s="147">
        <f t="shared" si="1"/>
        <v>158</v>
      </c>
      <c r="E14" s="148"/>
      <c r="F14" s="47">
        <f t="shared" si="2"/>
        <v>0</v>
      </c>
      <c r="G14" s="5"/>
      <c r="V14" s="55" t="s">
        <v>74</v>
      </c>
      <c r="W14" s="10"/>
      <c r="X14" s="5"/>
      <c r="Y14" s="5"/>
      <c r="Z14" s="5"/>
      <c r="AA14" s="5"/>
      <c r="AB14" s="5">
        <v>80</v>
      </c>
      <c r="AC14" s="5">
        <v>136</v>
      </c>
      <c r="AD14" s="5">
        <v>140</v>
      </c>
      <c r="AE14" s="5">
        <v>140</v>
      </c>
      <c r="AF14" s="5">
        <v>158</v>
      </c>
      <c r="AG14" s="5">
        <v>158</v>
      </c>
      <c r="AH14" s="52" t="str">
        <f t="shared" si="4"/>
        <v>Débattement de roue max (mm)</v>
      </c>
    </row>
    <row r="15" spans="1:34" ht="13.5" thickBot="1">
      <c r="A15" s="5"/>
      <c r="B15" s="5"/>
      <c r="C15" s="5"/>
      <c r="D15" s="5"/>
      <c r="E15" s="5"/>
      <c r="F15" s="5"/>
      <c r="G15" s="5"/>
      <c r="V15" s="15"/>
      <c r="W15" s="153" t="str">
        <f>Lang!A32</f>
        <v>TABLEAU A REMPLIR DE VALEURS DE MOTOS</v>
      </c>
      <c r="X15" s="154"/>
      <c r="Y15" s="154"/>
      <c r="Z15" s="154"/>
      <c r="AA15" s="154"/>
      <c r="AB15" s="154"/>
      <c r="AC15" s="154"/>
      <c r="AD15" s="154"/>
      <c r="AE15" s="154"/>
      <c r="AF15" s="154"/>
      <c r="AG15" s="155"/>
      <c r="AH15" s="53"/>
    </row>
    <row r="16" spans="1:34" ht="13.5" thickTop="1">
      <c r="A16" s="127" t="str">
        <f>Lang!A69</f>
        <v>Renseignez vos propres valeurs (BIKE1…) en suivant ce lien</v>
      </c>
      <c r="B16" s="90"/>
      <c r="C16" s="90"/>
      <c r="D16" s="91"/>
      <c r="E16" s="91"/>
      <c r="F16" s="6"/>
      <c r="G16" s="6"/>
      <c r="H16" s="6"/>
      <c r="I16" s="6"/>
      <c r="J16" s="5"/>
      <c r="Y16" s="1" t="s">
        <v>60</v>
      </c>
      <c r="Z16" s="1" t="s">
        <v>60</v>
      </c>
      <c r="AA16" s="1" t="s">
        <v>60</v>
      </c>
      <c r="AB16" s="1" t="s">
        <v>60</v>
      </c>
      <c r="AH16" s="5"/>
    </row>
    <row r="17" spans="4:34" ht="12.75" customHeight="1">
      <c r="D17" s="5"/>
      <c r="E17" s="5"/>
      <c r="F17" s="5"/>
      <c r="G17" s="5"/>
      <c r="U17" s="40"/>
      <c r="Y17" s="1" t="s">
        <v>61</v>
      </c>
      <c r="Z17" s="1" t="s">
        <v>225</v>
      </c>
      <c r="AA17" s="1" t="s">
        <v>61</v>
      </c>
      <c r="AB17" s="1" t="s">
        <v>225</v>
      </c>
      <c r="AH17" s="5"/>
    </row>
    <row r="18" spans="21:34" ht="12.75">
      <c r="U18" s="41"/>
      <c r="AH18" s="5"/>
    </row>
    <row r="19" spans="1:34" ht="12.75">
      <c r="A19" s="3" t="str">
        <f>Lang!A8</f>
        <v>Calculs à l'origine</v>
      </c>
      <c r="B19" s="1" t="str">
        <f>Lang!A9</f>
        <v>Rad</v>
      </c>
      <c r="C19" s="1" t="str">
        <f>Lang!A10</f>
        <v>Deg</v>
      </c>
      <c r="U19" s="41"/>
      <c r="Y19" s="2" t="s">
        <v>19</v>
      </c>
      <c r="Z19" s="9">
        <v>140</v>
      </c>
      <c r="AF19" s="5"/>
      <c r="AG19" s="5"/>
      <c r="AH19" s="5"/>
    </row>
    <row r="20" spans="1:34" ht="12.75">
      <c r="A20" t="str">
        <f>Lang!A11</f>
        <v>Angle PDA fixe</v>
      </c>
      <c r="B20" s="42">
        <f>ACOS((B4^2+B10^2-B5^2)/2/B10/B4)</f>
        <v>0.2215874593619176</v>
      </c>
      <c r="C20" s="42">
        <f>B20*180/PI()</f>
        <v>12.69602621446452</v>
      </c>
      <c r="E20" s="89"/>
      <c r="U20" s="41"/>
      <c r="Y20" s="2" t="s">
        <v>20</v>
      </c>
      <c r="Z20" s="9">
        <v>158</v>
      </c>
      <c r="AF20" s="5"/>
      <c r="AG20" s="5"/>
      <c r="AH20" s="5"/>
    </row>
    <row r="21" spans="1:34" ht="12.75">
      <c r="A21" t="str">
        <f>Lang!A12</f>
        <v>Angle ADB d'origine</v>
      </c>
      <c r="B21" s="42">
        <f>ACOS((B4^2+B7^2-B3^2)/2/B4/B7)</f>
        <v>2.016704924631056</v>
      </c>
      <c r="C21" s="42">
        <f>B21*180/PI()</f>
        <v>115.54868070460829</v>
      </c>
      <c r="U21" s="41"/>
      <c r="AF21" s="5"/>
      <c r="AG21" s="5"/>
      <c r="AH21" s="5"/>
    </row>
    <row r="22" spans="1:34" ht="13.5" thickBot="1">
      <c r="A22" t="str">
        <f>Lang!A13</f>
        <v>Angle BDC fixe</v>
      </c>
      <c r="B22" s="42">
        <f>ACOS((B7^2+B8^2-B6^2)/2/B7/B8)</f>
        <v>0.14278200069082203</v>
      </c>
      <c r="C22" s="42">
        <f>B22*180/PI()</f>
        <v>8.180806030018108</v>
      </c>
      <c r="U22" s="41"/>
      <c r="X22" s="2" t="s">
        <v>36</v>
      </c>
      <c r="Y22" t="s">
        <v>37</v>
      </c>
      <c r="AF22" s="5"/>
      <c r="AG22" s="5"/>
      <c r="AH22" s="5"/>
    </row>
    <row r="23" spans="1:34" ht="13.5" thickTop="1">
      <c r="A23" t="str">
        <f>Lang!A14</f>
        <v>Angle PDC d'origine</v>
      </c>
      <c r="B23" s="42">
        <f>SUM(B20:B22)</f>
        <v>2.381074384683796</v>
      </c>
      <c r="C23" s="42">
        <f>SUM(C20:C22)</f>
        <v>136.42551294909092</v>
      </c>
      <c r="H23" s="144" t="s">
        <v>301</v>
      </c>
      <c r="I23" s="128"/>
      <c r="J23" s="128"/>
      <c r="K23" s="128"/>
      <c r="L23" s="128"/>
      <c r="M23" s="128"/>
      <c r="N23" s="128"/>
      <c r="O23" s="26"/>
      <c r="P23" s="26" t="s">
        <v>297</v>
      </c>
      <c r="Q23" s="26" t="s">
        <v>298</v>
      </c>
      <c r="R23" s="26" t="s">
        <v>299</v>
      </c>
      <c r="S23" s="27" t="s">
        <v>300</v>
      </c>
      <c r="U23" s="41"/>
      <c r="X23" s="2" t="s">
        <v>38</v>
      </c>
      <c r="Y23" t="s">
        <v>39</v>
      </c>
      <c r="AF23" s="5"/>
      <c r="AG23" s="5"/>
      <c r="AH23" s="5"/>
    </row>
    <row r="24" spans="1:34" ht="12.75">
      <c r="A24" t="str">
        <f>Lang!A15</f>
        <v>Distance PC d'origine</v>
      </c>
      <c r="B24" s="42">
        <f>SQRT(B10^2+B8^2-2*COS(B23)*B10*B8)</f>
        <v>137.98213314866032</v>
      </c>
      <c r="C24" s="42"/>
      <c r="H24" s="135" t="str">
        <f>Lang!A33</f>
        <v>Bras oscillant</v>
      </c>
      <c r="I24" s="136"/>
      <c r="J24" s="136"/>
      <c r="K24" s="136"/>
      <c r="L24" s="136"/>
      <c r="M24" s="136"/>
      <c r="N24" s="136"/>
      <c r="O24" s="34" t="s">
        <v>42</v>
      </c>
      <c r="P24" s="28" t="s">
        <v>43</v>
      </c>
      <c r="Q24" s="28" t="s">
        <v>44</v>
      </c>
      <c r="R24" s="28" t="s">
        <v>44</v>
      </c>
      <c r="S24" s="13" t="s">
        <v>44</v>
      </c>
      <c r="U24" s="41"/>
      <c r="X24" s="2" t="s">
        <v>70</v>
      </c>
      <c r="Y24" t="s">
        <v>71</v>
      </c>
      <c r="AF24" s="5"/>
      <c r="AG24" s="5"/>
      <c r="AH24" s="5"/>
    </row>
    <row r="25" spans="1:34" ht="12.75">
      <c r="A25" t="str">
        <f>Lang!A16</f>
        <v>Angle DPC d'origine</v>
      </c>
      <c r="B25" s="42">
        <f>ACOS((B10^2+B24^2-B8^2)/2/B10/B24)</f>
        <v>0.2190542194512004</v>
      </c>
      <c r="C25" s="42">
        <f>B25*180/PI()</f>
        <v>12.550882259086329</v>
      </c>
      <c r="H25" s="135" t="str">
        <f>Lang!A34</f>
        <v>Biellette de commande d'amortisseur</v>
      </c>
      <c r="I25" s="136"/>
      <c r="J25" s="136"/>
      <c r="K25" s="136"/>
      <c r="L25" s="136"/>
      <c r="M25" s="136"/>
      <c r="N25" s="136"/>
      <c r="O25" s="34" t="s">
        <v>45</v>
      </c>
      <c r="P25" s="35" t="s">
        <v>46</v>
      </c>
      <c r="Q25" s="35" t="s">
        <v>47</v>
      </c>
      <c r="R25" s="35" t="s">
        <v>47</v>
      </c>
      <c r="S25" s="36" t="s">
        <v>47</v>
      </c>
      <c r="U25" s="41"/>
      <c r="AF25" s="5"/>
      <c r="AG25" s="5"/>
      <c r="AH25" s="5"/>
    </row>
    <row r="26" spans="1:34" ht="12.75">
      <c r="A26" t="str">
        <f>Lang!A17</f>
        <v>Angle CPE d'origine</v>
      </c>
      <c r="B26" s="42">
        <f>ACOS((B24^2+B11^2-B9^2)/2/B24/B11)</f>
        <v>1.3982722802545549</v>
      </c>
      <c r="C26" s="42">
        <f>B26*180/PI()</f>
        <v>80.11510026871983</v>
      </c>
      <c r="H26" s="135" t="str">
        <f>Lang!A35</f>
        <v>Tige de biellette de commande d'amortisseur</v>
      </c>
      <c r="I26" s="136"/>
      <c r="J26" s="136"/>
      <c r="K26" s="136"/>
      <c r="L26" s="136"/>
      <c r="M26" s="136"/>
      <c r="N26" s="136"/>
      <c r="O26" s="34" t="s">
        <v>48</v>
      </c>
      <c r="P26" s="33" t="s">
        <v>49</v>
      </c>
      <c r="Q26" s="33" t="s">
        <v>50</v>
      </c>
      <c r="R26" s="33" t="s">
        <v>50</v>
      </c>
      <c r="S26" s="37" t="s">
        <v>50</v>
      </c>
      <c r="U26" s="41"/>
      <c r="X26" s="58" t="s">
        <v>327</v>
      </c>
      <c r="Y26" s="126" t="s">
        <v>328</v>
      </c>
      <c r="AF26" s="5"/>
      <c r="AG26" s="5"/>
      <c r="AH26" s="5"/>
    </row>
    <row r="27" spans="1:34" ht="12.75">
      <c r="A27" t="str">
        <f>Lang!A18</f>
        <v>Angle DPE d'origine</v>
      </c>
      <c r="B27" s="42">
        <f>SUM(B25:B26)</f>
        <v>1.6173264997057553</v>
      </c>
      <c r="C27" s="42">
        <f>B27*180/PI()</f>
        <v>92.66598252780616</v>
      </c>
      <c r="H27" s="135" t="str">
        <f>Lang!A36</f>
        <v>Amortisseur</v>
      </c>
      <c r="I27" s="136"/>
      <c r="J27" s="136"/>
      <c r="K27" s="136"/>
      <c r="L27" s="136"/>
      <c r="M27" s="136"/>
      <c r="N27" s="136"/>
      <c r="O27" s="34" t="s">
        <v>51</v>
      </c>
      <c r="P27" s="33" t="s">
        <v>43</v>
      </c>
      <c r="Q27" s="33" t="s">
        <v>52</v>
      </c>
      <c r="R27" s="28" t="s">
        <v>53</v>
      </c>
      <c r="S27" s="13" t="s">
        <v>53</v>
      </c>
      <c r="Y27" s="126" t="s">
        <v>329</v>
      </c>
      <c r="AF27" s="5"/>
      <c r="AG27" s="5"/>
      <c r="AH27" s="5"/>
    </row>
    <row r="28" spans="1:19" ht="13.5" thickBot="1">
      <c r="A28" t="str">
        <f>Lang!A19</f>
        <v>Distance de O à l'horizontale de P</v>
      </c>
      <c r="B28" s="42">
        <f>B12*SIN(B13*PI()/180)</f>
        <v>-81.49976792221432</v>
      </c>
      <c r="C28" s="42"/>
      <c r="H28" s="137" t="str">
        <f>Lang!A37</f>
        <v>Patte de fixation haut amortisseur</v>
      </c>
      <c r="I28" s="138"/>
      <c r="J28" s="138"/>
      <c r="K28" s="138"/>
      <c r="L28" s="138"/>
      <c r="M28" s="138"/>
      <c r="N28" s="138"/>
      <c r="O28" s="38" t="s">
        <v>54</v>
      </c>
      <c r="P28" s="39" t="s">
        <v>43</v>
      </c>
      <c r="Q28" s="39" t="s">
        <v>43</v>
      </c>
      <c r="R28" s="142" t="str">
        <f>Lang!A50</f>
        <v>Cadre</v>
      </c>
      <c r="S28" s="143"/>
    </row>
    <row r="29" spans="2:19" ht="13.5" thickTop="1">
      <c r="B29" s="42"/>
      <c r="C29" s="42"/>
      <c r="H29" s="12"/>
      <c r="I29" s="12"/>
      <c r="J29" s="12"/>
      <c r="K29" s="12"/>
      <c r="L29" s="12"/>
      <c r="M29" s="12"/>
      <c r="N29" s="12"/>
      <c r="O29" s="35"/>
      <c r="P29" s="33"/>
      <c r="Q29" s="33"/>
      <c r="R29" s="33"/>
      <c r="S29" s="33"/>
    </row>
    <row r="30" spans="8:21" ht="13.5" thickBot="1">
      <c r="H30" s="12"/>
      <c r="I30" s="12"/>
      <c r="J30" s="12"/>
      <c r="K30" s="12"/>
      <c r="L30" s="12"/>
      <c r="M30" s="12"/>
      <c r="N30" s="12"/>
      <c r="O30" s="35"/>
      <c r="P30" s="33"/>
      <c r="Q30" s="33"/>
      <c r="R30" s="33"/>
      <c r="S30" s="33"/>
      <c r="U30" s="82"/>
    </row>
    <row r="31" spans="1:21" ht="13.5" thickTop="1">
      <c r="A31" s="17"/>
      <c r="B31" s="18"/>
      <c r="C31" s="18"/>
      <c r="D31" s="18"/>
      <c r="E31" s="18"/>
      <c r="F31" s="18"/>
      <c r="G31" s="18"/>
      <c r="H31" s="85"/>
      <c r="I31" s="85"/>
      <c r="J31" s="85"/>
      <c r="K31" s="85"/>
      <c r="L31" s="85"/>
      <c r="M31" s="85"/>
      <c r="N31" s="85"/>
      <c r="O31" s="86"/>
      <c r="P31" s="87"/>
      <c r="Q31" s="87"/>
      <c r="R31" s="87"/>
      <c r="S31" s="87"/>
      <c r="T31" s="19"/>
      <c r="U31" s="82"/>
    </row>
    <row r="32" spans="1:21" ht="12.75">
      <c r="A32" s="129" t="str">
        <f>Lang!A38</f>
        <v>Calcul des compressions d'amortisseur selon débattements de roue arrière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1"/>
      <c r="U32" s="82"/>
    </row>
    <row r="33" spans="1:21" ht="12.75">
      <c r="A33" s="10"/>
      <c r="B33" s="5"/>
      <c r="C33" s="5"/>
      <c r="D33" s="5"/>
      <c r="E33" s="5"/>
      <c r="F33" s="5"/>
      <c r="G33" s="5"/>
      <c r="H33" s="12"/>
      <c r="I33" s="12"/>
      <c r="J33" s="12"/>
      <c r="K33" s="12"/>
      <c r="L33" s="12"/>
      <c r="M33" s="12"/>
      <c r="N33" s="12"/>
      <c r="O33" s="35"/>
      <c r="P33" s="33"/>
      <c r="Q33" s="33"/>
      <c r="R33" s="33"/>
      <c r="S33" s="33"/>
      <c r="T33" s="11"/>
      <c r="U33" s="81">
        <f>Lang!A39</f>
      </c>
    </row>
    <row r="34" spans="1:21" ht="12.75">
      <c r="A34" s="10"/>
      <c r="B34" s="5"/>
      <c r="C34" s="83"/>
      <c r="D34" s="84" t="str">
        <f>Lang!A42&amp;" "&amp;FIXED(B14/18,1)&amp;" ("&amp;FIXED(B14,0)&amp;Lang!A43</f>
        <v>Calcul (tout en radians et mm) par incréments de  8,8 (158 max ÷ 18 intervalles) pour tracé de courbe Graph1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8"/>
      <c r="U34" s="81" t="str">
        <f>Lang!A40</f>
        <v>au</v>
      </c>
    </row>
    <row r="35" spans="1:21" ht="12.75">
      <c r="A35" s="1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1"/>
      <c r="U35" s="81" t="str">
        <f>Lang!A41</f>
        <v>choix</v>
      </c>
    </row>
    <row r="36" spans="1:21" ht="12.75">
      <c r="A36" s="7" t="str">
        <f>Lang!A20</f>
        <v>Débattement roue (vertical)</v>
      </c>
      <c r="B36" s="63">
        <v>0</v>
      </c>
      <c r="C36" s="63">
        <f aca="true" t="shared" si="5" ref="C36:T36">B36+$B$14/18</f>
        <v>8.777777777777779</v>
      </c>
      <c r="D36" s="63">
        <f t="shared" si="5"/>
        <v>17.555555555555557</v>
      </c>
      <c r="E36" s="63">
        <f t="shared" si="5"/>
        <v>26.333333333333336</v>
      </c>
      <c r="F36" s="63">
        <f t="shared" si="5"/>
        <v>35.111111111111114</v>
      </c>
      <c r="G36" s="63">
        <f t="shared" si="5"/>
        <v>43.88888888888889</v>
      </c>
      <c r="H36" s="63">
        <f t="shared" si="5"/>
        <v>52.66666666666667</v>
      </c>
      <c r="I36" s="63">
        <f t="shared" si="5"/>
        <v>61.44444444444445</v>
      </c>
      <c r="J36" s="63">
        <f t="shared" si="5"/>
        <v>70.22222222222223</v>
      </c>
      <c r="K36" s="63">
        <f t="shared" si="5"/>
        <v>79</v>
      </c>
      <c r="L36" s="63">
        <f t="shared" si="5"/>
        <v>87.77777777777777</v>
      </c>
      <c r="M36" s="63">
        <f t="shared" si="5"/>
        <v>96.55555555555554</v>
      </c>
      <c r="N36" s="63">
        <f t="shared" si="5"/>
        <v>105.33333333333331</v>
      </c>
      <c r="O36" s="63">
        <f t="shared" si="5"/>
        <v>114.11111111111109</v>
      </c>
      <c r="P36" s="63">
        <f t="shared" si="5"/>
        <v>122.88888888888886</v>
      </c>
      <c r="Q36" s="63">
        <f t="shared" si="5"/>
        <v>131.66666666666663</v>
      </c>
      <c r="R36" s="63">
        <f t="shared" si="5"/>
        <v>140.4444444444444</v>
      </c>
      <c r="S36" s="63">
        <f t="shared" si="5"/>
        <v>149.22222222222217</v>
      </c>
      <c r="T36" s="64">
        <f t="shared" si="5"/>
        <v>157.99999999999994</v>
      </c>
      <c r="U36" s="80">
        <v>120</v>
      </c>
    </row>
    <row r="37" spans="1:21" ht="12.75">
      <c r="A37" s="8" t="str">
        <f>Lang!A21</f>
        <v>angle de rotation du b.o. PO</v>
      </c>
      <c r="B37" s="4">
        <f aca="true" t="shared" si="6" ref="B37:U37">ASIN(($B$28+B36)/$B$12)-$B$13*PI()/180</f>
        <v>0</v>
      </c>
      <c r="C37" s="4">
        <f t="shared" si="6"/>
        <v>0.015121192966410957</v>
      </c>
      <c r="D37" s="4">
        <f t="shared" si="6"/>
        <v>0.03021382104410772</v>
      </c>
      <c r="E37" s="4">
        <f t="shared" si="6"/>
        <v>0.04528146541646692</v>
      </c>
      <c r="F37" s="4">
        <f t="shared" si="6"/>
        <v>0.06032765506636964</v>
      </c>
      <c r="G37" s="4">
        <f t="shared" si="6"/>
        <v>0.0753558745152586</v>
      </c>
      <c r="H37" s="4">
        <f t="shared" si="6"/>
        <v>0.09036957130296894</v>
      </c>
      <c r="I37" s="4">
        <f t="shared" si="6"/>
        <v>0.1053721632541644</v>
      </c>
      <c r="J37" s="4">
        <f t="shared" si="6"/>
        <v>0.12036704557477439</v>
      </c>
      <c r="K37" s="4">
        <f t="shared" si="6"/>
        <v>0.13535759781990706</v>
      </c>
      <c r="L37" s="4">
        <f t="shared" si="6"/>
        <v>0.15034719077327643</v>
      </c>
      <c r="M37" s="4">
        <f t="shared" si="6"/>
        <v>0.1653391932771971</v>
      </c>
      <c r="N37" s="4">
        <f t="shared" si="6"/>
        <v>0.1803369790516532</v>
      </c>
      <c r="O37" s="4">
        <f t="shared" si="6"/>
        <v>0.19534393354082824</v>
      </c>
      <c r="P37" s="4">
        <f t="shared" si="6"/>
        <v>0.21036346082578483</v>
      </c>
      <c r="Q37" s="4">
        <f t="shared" si="6"/>
        <v>0.2253989906427175</v>
      </c>
      <c r="R37" s="4">
        <f t="shared" si="6"/>
        <v>0.24045398554737824</v>
      </c>
      <c r="S37" s="4">
        <f t="shared" si="6"/>
        <v>0.25553194826791487</v>
      </c>
      <c r="T37" s="44">
        <f t="shared" si="6"/>
        <v>0.2706364292905017</v>
      </c>
      <c r="U37" s="43">
        <f t="shared" si="6"/>
        <v>0.205418726953786</v>
      </c>
    </row>
    <row r="38" spans="1:21" ht="12.75">
      <c r="A38" s="8" t="str">
        <f>Lang!A22</f>
        <v>angle de rotation de PE (idem PO)</v>
      </c>
      <c r="B38" s="4">
        <f>B37</f>
        <v>0</v>
      </c>
      <c r="C38" s="4">
        <f aca="true" t="shared" si="7" ref="C38:I38">C37</f>
        <v>0.015121192966410957</v>
      </c>
      <c r="D38" s="4">
        <f t="shared" si="7"/>
        <v>0.03021382104410772</v>
      </c>
      <c r="E38" s="4">
        <f t="shared" si="7"/>
        <v>0.04528146541646692</v>
      </c>
      <c r="F38" s="4">
        <f t="shared" si="7"/>
        <v>0.06032765506636964</v>
      </c>
      <c r="G38" s="4">
        <f t="shared" si="7"/>
        <v>0.0753558745152586</v>
      </c>
      <c r="H38" s="4">
        <f t="shared" si="7"/>
        <v>0.09036957130296894</v>
      </c>
      <c r="I38" s="4">
        <f t="shared" si="7"/>
        <v>0.1053721632541644</v>
      </c>
      <c r="J38" s="4">
        <f aca="true" t="shared" si="8" ref="J38:U38">J37</f>
        <v>0.12036704557477439</v>
      </c>
      <c r="K38" s="4">
        <f t="shared" si="8"/>
        <v>0.13535759781990706</v>
      </c>
      <c r="L38" s="4">
        <f t="shared" si="8"/>
        <v>0.15034719077327643</v>
      </c>
      <c r="M38" s="4">
        <f t="shared" si="8"/>
        <v>0.1653391932771971</v>
      </c>
      <c r="N38" s="4">
        <f t="shared" si="8"/>
        <v>0.1803369790516532</v>
      </c>
      <c r="O38" s="4">
        <f t="shared" si="8"/>
        <v>0.19534393354082824</v>
      </c>
      <c r="P38" s="4">
        <f t="shared" si="8"/>
        <v>0.21036346082578483</v>
      </c>
      <c r="Q38" s="4">
        <f t="shared" si="8"/>
        <v>0.2253989906427175</v>
      </c>
      <c r="R38" s="4">
        <f t="shared" si="8"/>
        <v>0.24045398554737824</v>
      </c>
      <c r="S38" s="4">
        <f t="shared" si="8"/>
        <v>0.25553194826791487</v>
      </c>
      <c r="T38" s="44">
        <f t="shared" si="8"/>
        <v>0.2706364292905017</v>
      </c>
      <c r="U38" s="43">
        <f t="shared" si="8"/>
        <v>0.205418726953786</v>
      </c>
    </row>
    <row r="39" spans="1:21" ht="12.75">
      <c r="A39" s="8" t="str">
        <f>Lang!A23</f>
        <v>Angle DPE'</v>
      </c>
      <c r="B39" s="4">
        <f aca="true" t="shared" si="9" ref="B39:U39">$B$27+B38</f>
        <v>1.6173264997057553</v>
      </c>
      <c r="C39" s="4">
        <f t="shared" si="9"/>
        <v>1.6324476926721663</v>
      </c>
      <c r="D39" s="4">
        <f t="shared" si="9"/>
        <v>1.647540320749863</v>
      </c>
      <c r="E39" s="4">
        <f t="shared" si="9"/>
        <v>1.662607965122222</v>
      </c>
      <c r="F39" s="4">
        <f t="shared" si="9"/>
        <v>1.6776541547721249</v>
      </c>
      <c r="G39" s="4">
        <f t="shared" si="9"/>
        <v>1.6926823742210138</v>
      </c>
      <c r="H39" s="4">
        <f t="shared" si="9"/>
        <v>1.7076960710087241</v>
      </c>
      <c r="I39" s="4">
        <f t="shared" si="9"/>
        <v>1.7226986629599197</v>
      </c>
      <c r="J39" s="4">
        <f t="shared" si="9"/>
        <v>1.7376935452805296</v>
      </c>
      <c r="K39" s="4">
        <f t="shared" si="9"/>
        <v>1.7526840975256623</v>
      </c>
      <c r="L39" s="4">
        <f t="shared" si="9"/>
        <v>1.7676736904790318</v>
      </c>
      <c r="M39" s="4">
        <f t="shared" si="9"/>
        <v>1.7826656929829523</v>
      </c>
      <c r="N39" s="4">
        <f t="shared" si="9"/>
        <v>1.7976634787574084</v>
      </c>
      <c r="O39" s="4">
        <f t="shared" si="9"/>
        <v>1.8126704332465835</v>
      </c>
      <c r="P39" s="4">
        <f t="shared" si="9"/>
        <v>1.82768996053154</v>
      </c>
      <c r="Q39" s="4">
        <f t="shared" si="9"/>
        <v>1.8427254903484727</v>
      </c>
      <c r="R39" s="4">
        <f t="shared" si="9"/>
        <v>1.8577804852531334</v>
      </c>
      <c r="S39" s="4">
        <f t="shared" si="9"/>
        <v>1.87285844797367</v>
      </c>
      <c r="T39" s="44">
        <f t="shared" si="9"/>
        <v>1.887962928996257</v>
      </c>
      <c r="U39" s="43">
        <f t="shared" si="9"/>
        <v>1.8227452266595412</v>
      </c>
    </row>
    <row r="40" spans="1:21" ht="12.75">
      <c r="A40" s="8" t="str">
        <f>Lang!A24</f>
        <v>Distance E'D nouvelle</v>
      </c>
      <c r="B40" s="4">
        <f aca="true" t="shared" si="10" ref="B40:U40">SQRT($B$10^2+$B$11^2-2*$B$10*$B$11*COS(B39))</f>
        <v>190.1490797432712</v>
      </c>
      <c r="C40" s="4">
        <f t="shared" si="10"/>
        <v>191.41467339740214</v>
      </c>
      <c r="D40" s="4">
        <f t="shared" si="10"/>
        <v>192.66842089599612</v>
      </c>
      <c r="E40" s="4">
        <f t="shared" si="10"/>
        <v>193.91057064730154</v>
      </c>
      <c r="F40" s="4">
        <f t="shared" si="10"/>
        <v>195.14136012571907</v>
      </c>
      <c r="G40" s="4">
        <f t="shared" si="10"/>
        <v>196.36101641206852</v>
      </c>
      <c r="H40" s="4">
        <f t="shared" si="10"/>
        <v>197.56975669295366</v>
      </c>
      <c r="I40" s="4">
        <f t="shared" si="10"/>
        <v>198.7677887223737</v>
      </c>
      <c r="J40" s="4">
        <f t="shared" si="10"/>
        <v>199.9553112483985</v>
      </c>
      <c r="K40" s="4">
        <f t="shared" si="10"/>
        <v>201.13251440742442</v>
      </c>
      <c r="L40" s="4">
        <f t="shared" si="10"/>
        <v>202.299580088261</v>
      </c>
      <c r="M40" s="4">
        <f t="shared" si="10"/>
        <v>203.45668226805344</v>
      </c>
      <c r="N40" s="4">
        <f t="shared" si="10"/>
        <v>204.60398732182682</v>
      </c>
      <c r="O40" s="4">
        <f t="shared" si="10"/>
        <v>205.7416543072338</v>
      </c>
      <c r="P40" s="4">
        <f t="shared" si="10"/>
        <v>206.86983522590305</v>
      </c>
      <c r="Q40" s="4">
        <f t="shared" si="10"/>
        <v>207.98867526261262</v>
      </c>
      <c r="R40" s="4">
        <f t="shared" si="10"/>
        <v>209.09831300335142</v>
      </c>
      <c r="S40" s="4">
        <f t="shared" si="10"/>
        <v>210.19888063318</v>
      </c>
      <c r="T40" s="44">
        <f t="shared" si="10"/>
        <v>211.29050411465767</v>
      </c>
      <c r="U40" s="43">
        <f t="shared" si="10"/>
        <v>206.499573364825</v>
      </c>
    </row>
    <row r="41" spans="1:23" ht="12.75">
      <c r="A41" s="8" t="str">
        <f>Lang!A25</f>
        <v>Angle PE'D</v>
      </c>
      <c r="B41" s="4">
        <f aca="true" t="shared" si="11" ref="B41:U41">ASIN(SIN(B39)*$B$10/B40)</f>
        <v>0.5727997389722257</v>
      </c>
      <c r="C41" s="4">
        <f t="shared" si="11"/>
        <v>0.5680186638150994</v>
      </c>
      <c r="D41" s="4">
        <f t="shared" si="11"/>
        <v>0.5632103439141661</v>
      </c>
      <c r="E41" s="4">
        <f t="shared" si="11"/>
        <v>0.5583748000586989</v>
      </c>
      <c r="F41" s="4">
        <f t="shared" si="11"/>
        <v>0.553511996098119</v>
      </c>
      <c r="G41" s="4">
        <f t="shared" si="11"/>
        <v>0.5486218410460193</v>
      </c>
      <c r="H41" s="4">
        <f t="shared" si="11"/>
        <v>0.5437041908644873</v>
      </c>
      <c r="I41" s="4">
        <f t="shared" si="11"/>
        <v>0.538758849950478</v>
      </c>
      <c r="J41" s="4">
        <f t="shared" si="11"/>
        <v>0.533785572342612</v>
      </c>
      <c r="K41" s="4">
        <f t="shared" si="11"/>
        <v>0.528784062663735</v>
      </c>
      <c r="L41" s="4">
        <f t="shared" si="11"/>
        <v>0.5237539768117747</v>
      </c>
      <c r="M41" s="4">
        <f t="shared" si="11"/>
        <v>0.5186949224088766</v>
      </c>
      <c r="N41" s="4">
        <f t="shared" si="11"/>
        <v>0.5136064590163759</v>
      </c>
      <c r="O41" s="4">
        <f t="shared" si="11"/>
        <v>0.5084880981209098</v>
      </c>
      <c r="P41" s="4">
        <f t="shared" si="11"/>
        <v>0.5033393028947722</v>
      </c>
      <c r="Q41" s="4">
        <f t="shared" si="11"/>
        <v>0.4981594877315031</v>
      </c>
      <c r="R41" s="4">
        <f t="shared" si="11"/>
        <v>0.4929480175555905</v>
      </c>
      <c r="S41" s="4">
        <f t="shared" si="11"/>
        <v>0.48770420690305816</v>
      </c>
      <c r="T41" s="44">
        <f t="shared" si="11"/>
        <v>0.48242731876755485</v>
      </c>
      <c r="U41" s="43">
        <f t="shared" si="11"/>
        <v>0.5050372380192895</v>
      </c>
      <c r="W41" s="45"/>
    </row>
    <row r="42" spans="1:21" ht="12.75">
      <c r="A42" s="8" t="str">
        <f>Lang!A26</f>
        <v>Angle PDE'</v>
      </c>
      <c r="B42" s="4">
        <f>PI()-B39-B41</f>
        <v>0.9514664149118122</v>
      </c>
      <c r="C42" s="4">
        <f aca="true" t="shared" si="12" ref="C42:I42">PI()-C39-C41</f>
        <v>0.9411262971025275</v>
      </c>
      <c r="D42" s="4">
        <f t="shared" si="12"/>
        <v>0.9308419889257641</v>
      </c>
      <c r="E42" s="4">
        <f t="shared" si="12"/>
        <v>0.9206098884088721</v>
      </c>
      <c r="F42" s="4">
        <f t="shared" si="12"/>
        <v>0.9104265027195493</v>
      </c>
      <c r="G42" s="4">
        <f t="shared" si="12"/>
        <v>0.9002884383227601</v>
      </c>
      <c r="H42" s="4">
        <f t="shared" si="12"/>
        <v>0.8901923917165817</v>
      </c>
      <c r="I42" s="4">
        <f t="shared" si="12"/>
        <v>0.8801351406793955</v>
      </c>
      <c r="J42" s="4">
        <f aca="true" t="shared" si="13" ref="J42:U42">PI()-J39-J41</f>
        <v>0.8701135359666515</v>
      </c>
      <c r="K42" s="4">
        <f t="shared" si="13"/>
        <v>0.8601244934003958</v>
      </c>
      <c r="L42" s="4">
        <f t="shared" si="13"/>
        <v>0.8501649862989866</v>
      </c>
      <c r="M42" s="4">
        <f t="shared" si="13"/>
        <v>0.8402320381979642</v>
      </c>
      <c r="N42" s="4">
        <f t="shared" si="13"/>
        <v>0.8303227158160088</v>
      </c>
      <c r="O42" s="4">
        <f t="shared" si="13"/>
        <v>0.8204341222222998</v>
      </c>
      <c r="P42" s="4">
        <f t="shared" si="13"/>
        <v>0.8105633901634809</v>
      </c>
      <c r="Q42" s="4">
        <f t="shared" si="13"/>
        <v>0.8007076755098174</v>
      </c>
      <c r="R42" s="4">
        <f t="shared" si="13"/>
        <v>0.7908641507810692</v>
      </c>
      <c r="S42" s="4">
        <f t="shared" si="13"/>
        <v>0.7810299987130649</v>
      </c>
      <c r="T42" s="44">
        <f t="shared" si="13"/>
        <v>0.7712024058259813</v>
      </c>
      <c r="U42" s="43">
        <f t="shared" si="13"/>
        <v>0.8138101889109625</v>
      </c>
    </row>
    <row r="43" spans="1:21" ht="12.75">
      <c r="A43" s="8" t="str">
        <f>Lang!A27</f>
        <v>Angle C'DE'</v>
      </c>
      <c r="B43" s="4">
        <f aca="true" t="shared" si="14" ref="B43:U43">ACOS(($B$8^2+B40^2-$B$9^2)/2/$B$8/B40)</f>
        <v>1.4296079697719846</v>
      </c>
      <c r="C43" s="4">
        <f t="shared" si="14"/>
        <v>1.401197179196655</v>
      </c>
      <c r="D43" s="4">
        <f t="shared" si="14"/>
        <v>1.3730940146909902</v>
      </c>
      <c r="E43" s="4">
        <f t="shared" si="14"/>
        <v>1.3452668887921932</v>
      </c>
      <c r="F43" s="4">
        <f t="shared" si="14"/>
        <v>1.317685596105982</v>
      </c>
      <c r="G43" s="4">
        <f t="shared" si="14"/>
        <v>1.2903210657798652</v>
      </c>
      <c r="H43" s="4">
        <f t="shared" si="14"/>
        <v>1.2631451319911728</v>
      </c>
      <c r="I43" s="4">
        <f t="shared" si="14"/>
        <v>1.23613031746223</v>
      </c>
      <c r="J43" s="4">
        <f t="shared" si="14"/>
        <v>1.209249625440323</v>
      </c>
      <c r="K43" s="4">
        <f t="shared" si="14"/>
        <v>1.1824763358150738</v>
      </c>
      <c r="L43" s="4">
        <f t="shared" si="14"/>
        <v>1.1557838011020993</v>
      </c>
      <c r="M43" s="4">
        <f t="shared" si="14"/>
        <v>1.129145237899183</v>
      </c>
      <c r="N43" s="4">
        <f t="shared" si="14"/>
        <v>1.1025335091062167</v>
      </c>
      <c r="O43" s="4">
        <f t="shared" si="14"/>
        <v>1.075920891665468</v>
      </c>
      <c r="P43" s="4">
        <f t="shared" si="14"/>
        <v>1.0492788237788386</v>
      </c>
      <c r="Q43" s="4">
        <f t="shared" si="14"/>
        <v>1.0225776244249998</v>
      </c>
      <c r="R43" s="4">
        <f t="shared" si="14"/>
        <v>0.9957861764306116</v>
      </c>
      <c r="S43" s="4">
        <f t="shared" si="14"/>
        <v>0.968871562199467</v>
      </c>
      <c r="T43" s="44">
        <f t="shared" si="14"/>
        <v>0.9417986382574194</v>
      </c>
      <c r="U43" s="43">
        <f t="shared" si="14"/>
        <v>1.0580521494629405</v>
      </c>
    </row>
    <row r="44" spans="1:21" ht="12.75">
      <c r="A44" s="8" t="str">
        <f>Lang!A28</f>
        <v>Angle CDC'</v>
      </c>
      <c r="B44" s="4">
        <f aca="true" t="shared" si="15" ref="B44:U44">$B$23-B42-B43</f>
        <v>0</v>
      </c>
      <c r="C44" s="4">
        <f t="shared" si="15"/>
        <v>0.03875090838461315</v>
      </c>
      <c r="D44" s="4">
        <f t="shared" si="15"/>
        <v>0.07713838106704163</v>
      </c>
      <c r="E44" s="4">
        <f t="shared" si="15"/>
        <v>0.11519760748273056</v>
      </c>
      <c r="F44" s="4">
        <f t="shared" si="15"/>
        <v>0.15296228585826466</v>
      </c>
      <c r="G44" s="4">
        <f t="shared" si="15"/>
        <v>0.19046488058117061</v>
      </c>
      <c r="H44" s="4">
        <f t="shared" si="15"/>
        <v>0.2277368609760413</v>
      </c>
      <c r="I44" s="4">
        <f t="shared" si="15"/>
        <v>0.2648089265421705</v>
      </c>
      <c r="J44" s="4">
        <f t="shared" si="15"/>
        <v>0.3017112232768213</v>
      </c>
      <c r="K44" s="4">
        <f t="shared" si="15"/>
        <v>0.33847355546832625</v>
      </c>
      <c r="L44" s="4">
        <f t="shared" si="15"/>
        <v>0.3751255972827099</v>
      </c>
      <c r="M44" s="4">
        <f t="shared" si="15"/>
        <v>0.41169710858664854</v>
      </c>
      <c r="N44" s="4">
        <f t="shared" si="15"/>
        <v>0.4482181597615702</v>
      </c>
      <c r="O44" s="4">
        <f t="shared" si="15"/>
        <v>0.484719370796028</v>
      </c>
      <c r="P44" s="4">
        <f t="shared" si="15"/>
        <v>0.5212321707414764</v>
      </c>
      <c r="Q44" s="4">
        <f t="shared" si="15"/>
        <v>0.5577890847489786</v>
      </c>
      <c r="R44" s="4">
        <f t="shared" si="15"/>
        <v>0.594424057472115</v>
      </c>
      <c r="S44" s="4">
        <f t="shared" si="15"/>
        <v>0.6311728237712639</v>
      </c>
      <c r="T44" s="44">
        <f t="shared" si="15"/>
        <v>0.668073340600395</v>
      </c>
      <c r="U44" s="43">
        <f t="shared" si="15"/>
        <v>0.5092120463098928</v>
      </c>
    </row>
    <row r="45" spans="1:21" ht="12.75">
      <c r="A45" s="8" t="str">
        <f>Lang!A29</f>
        <v>Angle B'DA</v>
      </c>
      <c r="B45" s="4">
        <f aca="true" t="shared" si="16" ref="B45:U45">$B$21-B44</f>
        <v>2.016704924631056</v>
      </c>
      <c r="C45" s="4">
        <f t="shared" si="16"/>
        <v>1.9779540162464428</v>
      </c>
      <c r="D45" s="4">
        <f t="shared" si="16"/>
        <v>1.9395665435640144</v>
      </c>
      <c r="E45" s="4">
        <f t="shared" si="16"/>
        <v>1.9015073171483254</v>
      </c>
      <c r="F45" s="4">
        <f t="shared" si="16"/>
        <v>1.8637426387727913</v>
      </c>
      <c r="G45" s="4">
        <f t="shared" si="16"/>
        <v>1.8262400440498854</v>
      </c>
      <c r="H45" s="4">
        <f t="shared" si="16"/>
        <v>1.7889680636550147</v>
      </c>
      <c r="I45" s="4">
        <f t="shared" si="16"/>
        <v>1.7518959980888855</v>
      </c>
      <c r="J45" s="4">
        <f t="shared" si="16"/>
        <v>1.7149937013542347</v>
      </c>
      <c r="K45" s="4">
        <f t="shared" si="16"/>
        <v>1.6782313691627297</v>
      </c>
      <c r="L45" s="4">
        <f t="shared" si="16"/>
        <v>1.641579327348346</v>
      </c>
      <c r="M45" s="4">
        <f t="shared" si="16"/>
        <v>1.6050078160444075</v>
      </c>
      <c r="N45" s="4">
        <f t="shared" si="16"/>
        <v>1.5684867648694858</v>
      </c>
      <c r="O45" s="4">
        <f t="shared" si="16"/>
        <v>1.531985553835028</v>
      </c>
      <c r="P45" s="4">
        <f t="shared" si="16"/>
        <v>1.4954727538895796</v>
      </c>
      <c r="Q45" s="4">
        <f t="shared" si="16"/>
        <v>1.4589158398820774</v>
      </c>
      <c r="R45" s="4">
        <f t="shared" si="16"/>
        <v>1.4222808671589409</v>
      </c>
      <c r="S45" s="4">
        <f t="shared" si="16"/>
        <v>1.385532100859792</v>
      </c>
      <c r="T45" s="44">
        <f t="shared" si="16"/>
        <v>1.3486315840306609</v>
      </c>
      <c r="U45" s="43">
        <f t="shared" si="16"/>
        <v>1.5074928783211632</v>
      </c>
    </row>
    <row r="46" spans="1:21" ht="12.75">
      <c r="A46" s="8" t="str">
        <f>Lang!A30</f>
        <v>Nouvelle longueur amorto B'A</v>
      </c>
      <c r="B46" s="4">
        <f aca="true" t="shared" si="17" ref="B46:U46">SQRT($B$7^2+$B$4^2-2*$B$7*$B$4*COS(B45))</f>
        <v>312</v>
      </c>
      <c r="C46" s="4">
        <f t="shared" si="17"/>
        <v>308.47965826738755</v>
      </c>
      <c r="D46" s="4">
        <f t="shared" si="17"/>
        <v>304.8927285573123</v>
      </c>
      <c r="E46" s="4">
        <f t="shared" si="17"/>
        <v>301.2404193881979</v>
      </c>
      <c r="F46" s="4">
        <f t="shared" si="17"/>
        <v>297.52369038181104</v>
      </c>
      <c r="G46" s="4">
        <f t="shared" si="17"/>
        <v>293.7432664198601</v>
      </c>
      <c r="H46" s="4">
        <f t="shared" si="17"/>
        <v>289.8996487079474</v>
      </c>
      <c r="I46" s="4">
        <f t="shared" si="17"/>
        <v>285.9931230109211</v>
      </c>
      <c r="J46" s="4">
        <f t="shared" si="17"/>
        <v>282.02376524261047</v>
      </c>
      <c r="K46" s="4">
        <f t="shared" si="17"/>
        <v>277.99144451940725</v>
      </c>
      <c r="L46" s="4">
        <f t="shared" si="17"/>
        <v>273.8958237174034</v>
      </c>
      <c r="M46" s="4">
        <f t="shared" si="17"/>
        <v>269.7363575032722</v>
      </c>
      <c r="N46" s="4">
        <f t="shared" si="17"/>
        <v>265.51228773616083</v>
      </c>
      <c r="O46" s="4">
        <f t="shared" si="17"/>
        <v>261.22263605752613</v>
      </c>
      <c r="P46" s="4">
        <f t="shared" si="17"/>
        <v>256.86619339332356</v>
      </c>
      <c r="Q46" s="4">
        <f t="shared" si="17"/>
        <v>252.4415059822287</v>
      </c>
      <c r="R46" s="4">
        <f t="shared" si="17"/>
        <v>247.94685740672855</v>
      </c>
      <c r="S46" s="4">
        <f t="shared" si="17"/>
        <v>243.38024593019736</v>
      </c>
      <c r="T46" s="44">
        <f t="shared" si="17"/>
        <v>238.73935621742075</v>
      </c>
      <c r="U46" s="43">
        <f t="shared" si="17"/>
        <v>258.30741720163206</v>
      </c>
    </row>
    <row r="47" spans="1:21" ht="12.75">
      <c r="A47" s="7" t="str">
        <f>Lang!A31</f>
        <v>Compression amortisseur</v>
      </c>
      <c r="B47" s="63">
        <f aca="true" t="shared" si="18" ref="B47:U47">$B$3-B46</f>
        <v>0</v>
      </c>
      <c r="C47" s="63">
        <f t="shared" si="18"/>
        <v>3.520341732612451</v>
      </c>
      <c r="D47" s="63">
        <f t="shared" si="18"/>
        <v>7.107271442687704</v>
      </c>
      <c r="E47" s="63">
        <f t="shared" si="18"/>
        <v>10.759580611802107</v>
      </c>
      <c r="F47" s="63">
        <f t="shared" si="18"/>
        <v>14.476309618188964</v>
      </c>
      <c r="G47" s="63">
        <f t="shared" si="18"/>
        <v>18.256733580139894</v>
      </c>
      <c r="H47" s="63">
        <f t="shared" si="18"/>
        <v>22.100351292052608</v>
      </c>
      <c r="I47" s="63">
        <f t="shared" si="18"/>
        <v>26.006876989078876</v>
      </c>
      <c r="J47" s="63">
        <f t="shared" si="18"/>
        <v>29.976234757389534</v>
      </c>
      <c r="K47" s="63">
        <f t="shared" si="18"/>
        <v>34.00855548059275</v>
      </c>
      <c r="L47" s="63">
        <f t="shared" si="18"/>
        <v>38.1041762825966</v>
      </c>
      <c r="M47" s="63">
        <f t="shared" si="18"/>
        <v>42.26364249672781</v>
      </c>
      <c r="N47" s="63">
        <f t="shared" si="18"/>
        <v>46.48771226383917</v>
      </c>
      <c r="O47" s="63">
        <f t="shared" si="18"/>
        <v>50.77736394247387</v>
      </c>
      <c r="P47" s="63">
        <f t="shared" si="18"/>
        <v>55.133806606676444</v>
      </c>
      <c r="Q47" s="64">
        <f t="shared" si="18"/>
        <v>59.558494017771295</v>
      </c>
      <c r="R47" s="64">
        <f t="shared" si="18"/>
        <v>64.05314259327145</v>
      </c>
      <c r="S47" s="64">
        <f t="shared" si="18"/>
        <v>68.61975406980264</v>
      </c>
      <c r="T47" s="65">
        <f t="shared" si="18"/>
        <v>73.26064378257925</v>
      </c>
      <c r="U47" s="65">
        <f t="shared" si="18"/>
        <v>53.69258279836794</v>
      </c>
    </row>
    <row r="48" spans="1:21" ht="13.5" thickBot="1">
      <c r="A48" s="111" t="str">
        <f>Lang!A70&amp;" Y="&amp;FIXED(($T$47-$B$47)/($T$36-$B$36),3)&amp;"*X"</f>
        <v>Comparaison linéaire Y=0,464*X</v>
      </c>
      <c r="B48" s="94">
        <f>B36*($T$47-$B$47)/($T$36-$B$36)+$B$47-$B$36*($T$47-$B$47)/($T$36-$B$36)</f>
        <v>0</v>
      </c>
      <c r="C48" s="94">
        <f aca="true" t="shared" si="19" ref="C48:T48">C36*($T$47-$B$47)/($T$36-$B$36)+$B$47-$B$36*($T$47-$B$47)/($T$36-$B$36)</f>
        <v>4.070035765698849</v>
      </c>
      <c r="D48" s="94">
        <f t="shared" si="19"/>
        <v>8.140071531397698</v>
      </c>
      <c r="E48" s="94">
        <f t="shared" si="19"/>
        <v>12.210107297096547</v>
      </c>
      <c r="F48" s="94">
        <f t="shared" si="19"/>
        <v>16.280143062795396</v>
      </c>
      <c r="G48" s="94">
        <f t="shared" si="19"/>
        <v>20.350178828494247</v>
      </c>
      <c r="H48" s="94">
        <f t="shared" si="19"/>
        <v>24.420214594193094</v>
      </c>
      <c r="I48" s="94">
        <f t="shared" si="19"/>
        <v>28.490250359891945</v>
      </c>
      <c r="J48" s="94">
        <f t="shared" si="19"/>
        <v>32.56028612559079</v>
      </c>
      <c r="K48" s="94">
        <f t="shared" si="19"/>
        <v>36.63032189128964</v>
      </c>
      <c r="L48" s="94">
        <f t="shared" si="19"/>
        <v>40.70035765698849</v>
      </c>
      <c r="M48" s="94">
        <f>M36*($T$47-$B$47)/($T$36-$B$36)+$B$47-$B$36*($T$47-$B$47)/($T$36-$B$36)</f>
        <v>44.770393422687334</v>
      </c>
      <c r="N48" s="94">
        <f t="shared" si="19"/>
        <v>48.84042918838618</v>
      </c>
      <c r="O48" s="94">
        <f t="shared" si="19"/>
        <v>52.91046495408502</v>
      </c>
      <c r="P48" s="94">
        <f t="shared" si="19"/>
        <v>56.98050071978387</v>
      </c>
      <c r="Q48" s="94">
        <f t="shared" si="19"/>
        <v>61.050536485482716</v>
      </c>
      <c r="R48" s="94">
        <f t="shared" si="19"/>
        <v>65.12057225118156</v>
      </c>
      <c r="S48" s="94">
        <f t="shared" si="19"/>
        <v>69.1906080168804</v>
      </c>
      <c r="T48" s="93">
        <f t="shared" si="19"/>
        <v>73.26064378257925</v>
      </c>
      <c r="U48" s="92"/>
    </row>
    <row r="49" spans="1:21" ht="13.5" thickTop="1">
      <c r="A49" s="1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9"/>
      <c r="U49" s="42"/>
    </row>
    <row r="50" spans="1:21" ht="12.75">
      <c r="A50" s="20" t="str">
        <f>Lang!A72</f>
        <v>Saisir résistance du ressort N/mm (F1) :</v>
      </c>
      <c r="B50" s="100">
        <v>64</v>
      </c>
      <c r="C50" s="69"/>
      <c r="D50" s="68" t="str">
        <f>Lang!A71</f>
        <v>Calcul de résistance selon débattements de roue arrière Graph2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72"/>
      <c r="U50" s="42"/>
    </row>
    <row r="51" spans="1:21" ht="12.75">
      <c r="A51" s="101"/>
      <c r="B51" s="102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72"/>
      <c r="U51" s="42"/>
    </row>
    <row r="52" spans="1:21" ht="12.75">
      <c r="A52" s="109" t="str">
        <f>Lang!A73</f>
        <v>Report Débattement (D2, abscisse)</v>
      </c>
      <c r="B52" s="69"/>
      <c r="C52" s="106">
        <f aca="true" t="shared" si="20" ref="C52:U52">C36</f>
        <v>8.777777777777779</v>
      </c>
      <c r="D52" s="108">
        <f t="shared" si="20"/>
        <v>17.555555555555557</v>
      </c>
      <c r="E52" s="108">
        <f t="shared" si="20"/>
        <v>26.333333333333336</v>
      </c>
      <c r="F52" s="108">
        <f t="shared" si="20"/>
        <v>35.111111111111114</v>
      </c>
      <c r="G52" s="108">
        <f t="shared" si="20"/>
        <v>43.88888888888889</v>
      </c>
      <c r="H52" s="108">
        <f t="shared" si="20"/>
        <v>52.66666666666667</v>
      </c>
      <c r="I52" s="108">
        <f t="shared" si="20"/>
        <v>61.44444444444445</v>
      </c>
      <c r="J52" s="108">
        <f t="shared" si="20"/>
        <v>70.22222222222223</v>
      </c>
      <c r="K52" s="108">
        <f t="shared" si="20"/>
        <v>79</v>
      </c>
      <c r="L52" s="108">
        <f t="shared" si="20"/>
        <v>87.77777777777777</v>
      </c>
      <c r="M52" s="108">
        <f t="shared" si="20"/>
        <v>96.55555555555554</v>
      </c>
      <c r="N52" s="108">
        <f t="shared" si="20"/>
        <v>105.33333333333331</v>
      </c>
      <c r="O52" s="108">
        <f t="shared" si="20"/>
        <v>114.11111111111109</v>
      </c>
      <c r="P52" s="108">
        <f t="shared" si="20"/>
        <v>122.88888888888886</v>
      </c>
      <c r="Q52" s="108">
        <f t="shared" si="20"/>
        <v>131.66666666666663</v>
      </c>
      <c r="R52" s="108">
        <f t="shared" si="20"/>
        <v>140.4444444444444</v>
      </c>
      <c r="S52" s="108">
        <f t="shared" si="20"/>
        <v>149.22222222222217</v>
      </c>
      <c r="T52" s="108">
        <f t="shared" si="20"/>
        <v>157.99999999999994</v>
      </c>
      <c r="U52" s="107">
        <f t="shared" si="20"/>
        <v>120</v>
      </c>
    </row>
    <row r="53" spans="1:21" ht="12.75">
      <c r="A53" s="10" t="str">
        <f>Lang!A74</f>
        <v>Report Compression (D1)</v>
      </c>
      <c r="B53" s="69"/>
      <c r="C53" s="69">
        <f aca="true" t="shared" si="21" ref="C53:U53">C47</f>
        <v>3.520341732612451</v>
      </c>
      <c r="D53" s="69">
        <f t="shared" si="21"/>
        <v>7.107271442687704</v>
      </c>
      <c r="E53" s="69">
        <f t="shared" si="21"/>
        <v>10.759580611802107</v>
      </c>
      <c r="F53" s="69">
        <f t="shared" si="21"/>
        <v>14.476309618188964</v>
      </c>
      <c r="G53" s="69">
        <f t="shared" si="21"/>
        <v>18.256733580139894</v>
      </c>
      <c r="H53" s="69">
        <f t="shared" si="21"/>
        <v>22.100351292052608</v>
      </c>
      <c r="I53" s="69">
        <f t="shared" si="21"/>
        <v>26.006876989078876</v>
      </c>
      <c r="J53" s="69">
        <f t="shared" si="21"/>
        <v>29.976234757389534</v>
      </c>
      <c r="K53" s="69">
        <f t="shared" si="21"/>
        <v>34.00855548059275</v>
      </c>
      <c r="L53" s="69">
        <f t="shared" si="21"/>
        <v>38.1041762825966</v>
      </c>
      <c r="M53" s="69">
        <f t="shared" si="21"/>
        <v>42.26364249672781</v>
      </c>
      <c r="N53" s="69">
        <f t="shared" si="21"/>
        <v>46.48771226383917</v>
      </c>
      <c r="O53" s="69">
        <f t="shared" si="21"/>
        <v>50.77736394247387</v>
      </c>
      <c r="P53" s="69">
        <f t="shared" si="21"/>
        <v>55.133806606676444</v>
      </c>
      <c r="Q53" s="69">
        <f t="shared" si="21"/>
        <v>59.558494017771295</v>
      </c>
      <c r="R53" s="69">
        <f t="shared" si="21"/>
        <v>64.05314259327145</v>
      </c>
      <c r="S53" s="69">
        <f t="shared" si="21"/>
        <v>68.61975406980264</v>
      </c>
      <c r="T53" s="72">
        <f t="shared" si="21"/>
        <v>73.26064378257925</v>
      </c>
      <c r="U53" s="42">
        <f t="shared" si="21"/>
        <v>53.69258279836794</v>
      </c>
    </row>
    <row r="54" spans="1:21" ht="12.75">
      <c r="A54" s="109" t="str">
        <f>Lang!A75&amp;Lang!A76</f>
        <v>Résistance F2=F1xD1/D2 (ordonnée)</v>
      </c>
      <c r="B54" s="69"/>
      <c r="C54" s="106">
        <f aca="true" t="shared" si="22" ref="C54:U54">$B$50*C53/C52</f>
        <v>25.66730174664268</v>
      </c>
      <c r="D54" s="108">
        <f t="shared" si="22"/>
        <v>25.910052854355172</v>
      </c>
      <c r="E54" s="108">
        <f t="shared" si="22"/>
        <v>26.149866803367143</v>
      </c>
      <c r="F54" s="108">
        <f t="shared" si="22"/>
        <v>26.387197278724184</v>
      </c>
      <c r="G54" s="108">
        <f t="shared" si="22"/>
        <v>26.622477321925516</v>
      </c>
      <c r="H54" s="108">
        <f t="shared" si="22"/>
        <v>26.856123089076583</v>
      </c>
      <c r="I54" s="108">
        <f t="shared" si="22"/>
        <v>27.088537334013438</v>
      </c>
      <c r="J54" s="108">
        <f t="shared" si="22"/>
        <v>27.320112690279068</v>
      </c>
      <c r="K54" s="108">
        <f t="shared" si="22"/>
        <v>27.551234819720708</v>
      </c>
      <c r="L54" s="108">
        <f t="shared" si="22"/>
        <v>27.782285492121066</v>
      </c>
      <c r="M54" s="108">
        <f t="shared" si="22"/>
        <v>28.013645659511187</v>
      </c>
      <c r="N54" s="108">
        <f t="shared" si="22"/>
        <v>28.245698590687095</v>
      </c>
      <c r="O54" s="108">
        <f t="shared" si="22"/>
        <v>28.478833136187884</v>
      </c>
      <c r="P54" s="108">
        <f t="shared" si="22"/>
        <v>28.713447202030416</v>
      </c>
      <c r="Q54" s="108">
        <f t="shared" si="22"/>
        <v>28.94995152256226</v>
      </c>
      <c r="R54" s="108">
        <f t="shared" si="22"/>
        <v>29.18877383997181</v>
      </c>
      <c r="S54" s="108">
        <f t="shared" si="22"/>
        <v>29.430363621896003</v>
      </c>
      <c r="T54" s="108">
        <f t="shared" si="22"/>
        <v>29.6751974815511</v>
      </c>
      <c r="U54" s="107">
        <f t="shared" si="22"/>
        <v>28.636044159129565</v>
      </c>
    </row>
    <row r="55" spans="1:21" ht="12.75">
      <c r="A55" s="10" t="str">
        <f>Lang!A70&amp;" Y="&amp;FIXED(($C$54-$T$54)/($C$52-$T$52),3)&amp;"*X+"&amp;FIXED($C$54-$C$52*($C$54-$T$54)/($C$52-$T$52),2)</f>
        <v>Comparaison linéaire Y=0,027*X+25,43</v>
      </c>
      <c r="B55" s="69"/>
      <c r="C55" s="69">
        <f aca="true" t="shared" si="23" ref="C55:U55">C52*($C$54-$T$54)/($C$52-$T$52)+$C$54-$C$52*($C$54-$T$54)/($C$52-$T$52)</f>
        <v>25.66730174664268</v>
      </c>
      <c r="D55" s="69">
        <f t="shared" si="23"/>
        <v>25.90306031928435</v>
      </c>
      <c r="E55" s="69">
        <f t="shared" si="23"/>
        <v>26.13881889192602</v>
      </c>
      <c r="F55" s="69">
        <f t="shared" si="23"/>
        <v>26.374577464567693</v>
      </c>
      <c r="G55" s="69">
        <f t="shared" si="23"/>
        <v>26.610336037209365</v>
      </c>
      <c r="H55" s="69">
        <f t="shared" si="23"/>
        <v>26.846094609851036</v>
      </c>
      <c r="I55" s="69">
        <f t="shared" si="23"/>
        <v>27.08185318249271</v>
      </c>
      <c r="J55" s="69">
        <f t="shared" si="23"/>
        <v>27.317611755134383</v>
      </c>
      <c r="K55" s="69">
        <f t="shared" si="23"/>
        <v>27.553370327776054</v>
      </c>
      <c r="L55" s="69">
        <f t="shared" si="23"/>
        <v>27.789128900417726</v>
      </c>
      <c r="M55" s="69">
        <f t="shared" si="23"/>
        <v>28.024887473059398</v>
      </c>
      <c r="N55" s="69">
        <f t="shared" si="23"/>
        <v>28.26064604570107</v>
      </c>
      <c r="O55" s="69">
        <f t="shared" si="23"/>
        <v>28.49640461834274</v>
      </c>
      <c r="P55" s="69">
        <f t="shared" si="23"/>
        <v>28.732163190984412</v>
      </c>
      <c r="Q55" s="69">
        <f t="shared" si="23"/>
        <v>28.967921763626084</v>
      </c>
      <c r="R55" s="69">
        <f t="shared" si="23"/>
        <v>29.203680336267755</v>
      </c>
      <c r="S55" s="69">
        <f t="shared" si="23"/>
        <v>29.439438908909427</v>
      </c>
      <c r="T55" s="72">
        <f t="shared" si="23"/>
        <v>29.6751974815511</v>
      </c>
      <c r="U55" s="42">
        <f t="shared" si="23"/>
        <v>28.654571762013735</v>
      </c>
    </row>
    <row r="56" spans="1:21" ht="13.5" thickBot="1">
      <c r="A56" s="24" t="str">
        <f>Lang!A77</f>
        <v>Différences</v>
      </c>
      <c r="B56" s="103"/>
      <c r="C56" s="104">
        <f>C55-C54</f>
        <v>0</v>
      </c>
      <c r="D56" s="104">
        <f aca="true" t="shared" si="24" ref="D56:O56">D55-D54</f>
        <v>-0.006992535070821759</v>
      </c>
      <c r="E56" s="104">
        <f t="shared" si="24"/>
        <v>-0.011047911441121272</v>
      </c>
      <c r="F56" s="104">
        <f t="shared" si="24"/>
        <v>-0.012619814156490605</v>
      </c>
      <c r="G56" s="104">
        <f t="shared" si="24"/>
        <v>-0.012141284716150835</v>
      </c>
      <c r="H56" s="104">
        <f t="shared" si="24"/>
        <v>-0.010028479225546505</v>
      </c>
      <c r="I56" s="104">
        <f t="shared" si="24"/>
        <v>-0.0066841515207265445</v>
      </c>
      <c r="J56" s="104">
        <f t="shared" si="24"/>
        <v>-0.002500935144684746</v>
      </c>
      <c r="K56" s="104">
        <f t="shared" si="24"/>
        <v>0.0021355080553462358</v>
      </c>
      <c r="L56" s="104">
        <f t="shared" si="24"/>
        <v>0.006843408296660414</v>
      </c>
      <c r="M56" s="104">
        <f t="shared" si="24"/>
        <v>0.011241813548210189</v>
      </c>
      <c r="N56" s="104">
        <f t="shared" si="24"/>
        <v>0.01494745501397432</v>
      </c>
      <c r="O56" s="104">
        <f t="shared" si="24"/>
        <v>0.01757148215485671</v>
      </c>
      <c r="P56" s="104">
        <f aca="true" t="shared" si="25" ref="P56:U56">P55-P54</f>
        <v>0.018715988953996288</v>
      </c>
      <c r="Q56" s="104">
        <f t="shared" si="25"/>
        <v>0.017970241063824943</v>
      </c>
      <c r="R56" s="104">
        <f t="shared" si="25"/>
        <v>0.014906496295946425</v>
      </c>
      <c r="S56" s="104">
        <f t="shared" si="25"/>
        <v>0.00907528701342386</v>
      </c>
      <c r="T56" s="105">
        <f t="shared" si="25"/>
        <v>0</v>
      </c>
      <c r="U56" s="96">
        <f t="shared" si="25"/>
        <v>0.01852760288416988</v>
      </c>
    </row>
    <row r="57" spans="1:21" ht="13.5" thickTop="1">
      <c r="A57" s="5"/>
      <c r="B57" s="5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96"/>
    </row>
    <row r="58" ht="13.5" thickBot="1"/>
    <row r="59" spans="1:20" ht="13.5" thickTop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/>
    </row>
    <row r="60" spans="1:20" ht="12.75">
      <c r="A60" s="129" t="str">
        <f>Lang!A44</f>
        <v>Modif de tige de biellette CE pour changer hauteur de selle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1"/>
    </row>
    <row r="61" spans="1:21" ht="12.75">
      <c r="A61" s="10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1"/>
      <c r="U61" s="79">
        <f>Lang!A39</f>
      </c>
    </row>
    <row r="62" spans="1:21" ht="12.75">
      <c r="A62" s="20" t="str">
        <f>Lang!A45</f>
        <v>Saisir Grandeur d'intervalle : </v>
      </c>
      <c r="B62" s="77">
        <v>15</v>
      </c>
      <c r="D62" s="68" t="str">
        <f>Lang!A46&amp;" "&amp;FIXED(B9-B62/2,1)&amp;" "&amp;Lang!A47&amp;" "&amp;FIXED(B9+B62/2,1)</f>
        <v>Calculs pour tige de biellette de 181,5 à 196,5</v>
      </c>
      <c r="E62" s="4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11"/>
      <c r="U62" s="79" t="str">
        <f>Lang!A40</f>
        <v>au</v>
      </c>
    </row>
    <row r="63" spans="1:21" ht="12.75">
      <c r="A63" s="2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11"/>
      <c r="U63" s="79" t="str">
        <f>Lang!A41</f>
        <v>choix</v>
      </c>
    </row>
    <row r="64" spans="1:21" ht="12.75">
      <c r="A64" s="22" t="str">
        <f>Lang!A48</f>
        <v>Longueurs tige de biellette CE</v>
      </c>
      <c r="B64" s="16">
        <f>$B9</f>
        <v>189</v>
      </c>
      <c r="C64" s="16">
        <f>$B$64-$B$62/2</f>
        <v>181.5</v>
      </c>
      <c r="D64" s="16">
        <f>C64+$B$62/17</f>
        <v>182.38235294117646</v>
      </c>
      <c r="E64" s="16">
        <f aca="true" t="shared" si="26" ref="E64:T64">D64+$B$62/17</f>
        <v>183.26470588235293</v>
      </c>
      <c r="F64" s="16">
        <f t="shared" si="26"/>
        <v>184.1470588235294</v>
      </c>
      <c r="G64" s="16">
        <f t="shared" si="26"/>
        <v>185.02941176470586</v>
      </c>
      <c r="H64" s="16">
        <f t="shared" si="26"/>
        <v>185.91176470588232</v>
      </c>
      <c r="I64" s="16">
        <f t="shared" si="26"/>
        <v>186.79411764705878</v>
      </c>
      <c r="J64" s="16">
        <f t="shared" si="26"/>
        <v>187.67647058823525</v>
      </c>
      <c r="K64" s="16">
        <f t="shared" si="26"/>
        <v>188.5588235294117</v>
      </c>
      <c r="L64" s="16">
        <f t="shared" si="26"/>
        <v>189.44117647058818</v>
      </c>
      <c r="M64" s="16">
        <f t="shared" si="26"/>
        <v>190.32352941176464</v>
      </c>
      <c r="N64" s="16">
        <f t="shared" si="26"/>
        <v>191.2058823529411</v>
      </c>
      <c r="O64" s="16">
        <f t="shared" si="26"/>
        <v>192.08823529411757</v>
      </c>
      <c r="P64" s="16">
        <f t="shared" si="26"/>
        <v>192.97058823529403</v>
      </c>
      <c r="Q64" s="16">
        <f t="shared" si="26"/>
        <v>193.8529411764705</v>
      </c>
      <c r="R64" s="16">
        <f t="shared" si="26"/>
        <v>194.73529411764696</v>
      </c>
      <c r="S64" s="16">
        <f t="shared" si="26"/>
        <v>195.61764705882342</v>
      </c>
      <c r="T64" s="64">
        <f t="shared" si="26"/>
        <v>196.4999999999999</v>
      </c>
      <c r="U64" s="80">
        <v>179</v>
      </c>
    </row>
    <row r="65" spans="1:21" ht="12.75">
      <c r="A65" s="10" t="str">
        <f aca="true" t="shared" si="27" ref="A65:A70">A3</f>
        <v>AB</v>
      </c>
      <c r="B65" s="14">
        <f aca="true" t="shared" si="28" ref="B65:T65">$B3</f>
        <v>312</v>
      </c>
      <c r="C65" s="14">
        <f t="shared" si="28"/>
        <v>312</v>
      </c>
      <c r="D65" s="14">
        <f t="shared" si="28"/>
        <v>312</v>
      </c>
      <c r="E65" s="14">
        <f t="shared" si="28"/>
        <v>312</v>
      </c>
      <c r="F65" s="14">
        <f t="shared" si="28"/>
        <v>312</v>
      </c>
      <c r="G65" s="14">
        <f t="shared" si="28"/>
        <v>312</v>
      </c>
      <c r="H65" s="14">
        <f t="shared" si="28"/>
        <v>312</v>
      </c>
      <c r="I65" s="14">
        <f t="shared" si="28"/>
        <v>312</v>
      </c>
      <c r="J65" s="14">
        <f t="shared" si="28"/>
        <v>312</v>
      </c>
      <c r="K65" s="14">
        <f t="shared" si="28"/>
        <v>312</v>
      </c>
      <c r="L65" s="14">
        <f t="shared" si="28"/>
        <v>312</v>
      </c>
      <c r="M65" s="14">
        <f t="shared" si="28"/>
        <v>312</v>
      </c>
      <c r="N65" s="14">
        <f t="shared" si="28"/>
        <v>312</v>
      </c>
      <c r="O65" s="14">
        <f t="shared" si="28"/>
        <v>312</v>
      </c>
      <c r="P65" s="14">
        <f t="shared" si="28"/>
        <v>312</v>
      </c>
      <c r="Q65" s="14">
        <f t="shared" si="28"/>
        <v>312</v>
      </c>
      <c r="R65" s="14">
        <f t="shared" si="28"/>
        <v>312</v>
      </c>
      <c r="S65" s="14">
        <f t="shared" si="28"/>
        <v>312</v>
      </c>
      <c r="T65" s="14">
        <f t="shared" si="28"/>
        <v>312</v>
      </c>
      <c r="U65" s="66">
        <f aca="true" t="shared" si="29" ref="U65:U70">$B3</f>
        <v>312</v>
      </c>
    </row>
    <row r="66" spans="1:21" ht="12.75">
      <c r="A66" s="10" t="str">
        <f t="shared" si="27"/>
        <v>AD</v>
      </c>
      <c r="B66" s="14">
        <f aca="true" t="shared" si="30" ref="B66:T66">$B4</f>
        <v>228.736</v>
      </c>
      <c r="C66" s="14">
        <f t="shared" si="30"/>
        <v>228.736</v>
      </c>
      <c r="D66" s="14">
        <f t="shared" si="30"/>
        <v>228.736</v>
      </c>
      <c r="E66" s="14">
        <f t="shared" si="30"/>
        <v>228.736</v>
      </c>
      <c r="F66" s="14">
        <f t="shared" si="30"/>
        <v>228.736</v>
      </c>
      <c r="G66" s="14">
        <f t="shared" si="30"/>
        <v>228.736</v>
      </c>
      <c r="H66" s="14">
        <f t="shared" si="30"/>
        <v>228.736</v>
      </c>
      <c r="I66" s="14">
        <f t="shared" si="30"/>
        <v>228.736</v>
      </c>
      <c r="J66" s="14">
        <f t="shared" si="30"/>
        <v>228.736</v>
      </c>
      <c r="K66" s="14">
        <f t="shared" si="30"/>
        <v>228.736</v>
      </c>
      <c r="L66" s="14">
        <f t="shared" si="30"/>
        <v>228.736</v>
      </c>
      <c r="M66" s="14">
        <f t="shared" si="30"/>
        <v>228.736</v>
      </c>
      <c r="N66" s="14">
        <f t="shared" si="30"/>
        <v>228.736</v>
      </c>
      <c r="O66" s="14">
        <f t="shared" si="30"/>
        <v>228.736</v>
      </c>
      <c r="P66" s="14">
        <f t="shared" si="30"/>
        <v>228.736</v>
      </c>
      <c r="Q66" s="14">
        <f t="shared" si="30"/>
        <v>228.736</v>
      </c>
      <c r="R66" s="14">
        <f t="shared" si="30"/>
        <v>228.736</v>
      </c>
      <c r="S66" s="14">
        <f t="shared" si="30"/>
        <v>228.736</v>
      </c>
      <c r="T66" s="14">
        <f t="shared" si="30"/>
        <v>228.736</v>
      </c>
      <c r="U66" s="66">
        <f t="shared" si="29"/>
        <v>228.736</v>
      </c>
    </row>
    <row r="67" spans="1:21" ht="12.75">
      <c r="A67" s="10" t="str">
        <f t="shared" si="27"/>
        <v>AP</v>
      </c>
      <c r="B67" s="14">
        <f aca="true" t="shared" si="31" ref="B67:T67">$B5</f>
        <v>130.08</v>
      </c>
      <c r="C67" s="14">
        <f t="shared" si="31"/>
        <v>130.08</v>
      </c>
      <c r="D67" s="14">
        <f t="shared" si="31"/>
        <v>130.08</v>
      </c>
      <c r="E67" s="14">
        <f t="shared" si="31"/>
        <v>130.08</v>
      </c>
      <c r="F67" s="14">
        <f t="shared" si="31"/>
        <v>130.08</v>
      </c>
      <c r="G67" s="14">
        <f t="shared" si="31"/>
        <v>130.08</v>
      </c>
      <c r="H67" s="14">
        <f t="shared" si="31"/>
        <v>130.08</v>
      </c>
      <c r="I67" s="14">
        <f t="shared" si="31"/>
        <v>130.08</v>
      </c>
      <c r="J67" s="14">
        <f t="shared" si="31"/>
        <v>130.08</v>
      </c>
      <c r="K67" s="14">
        <f t="shared" si="31"/>
        <v>130.08</v>
      </c>
      <c r="L67" s="14">
        <f t="shared" si="31"/>
        <v>130.08</v>
      </c>
      <c r="M67" s="14">
        <f t="shared" si="31"/>
        <v>130.08</v>
      </c>
      <c r="N67" s="14">
        <f t="shared" si="31"/>
        <v>130.08</v>
      </c>
      <c r="O67" s="14">
        <f t="shared" si="31"/>
        <v>130.08</v>
      </c>
      <c r="P67" s="14">
        <f t="shared" si="31"/>
        <v>130.08</v>
      </c>
      <c r="Q67" s="14">
        <f t="shared" si="31"/>
        <v>130.08</v>
      </c>
      <c r="R67" s="14">
        <f t="shared" si="31"/>
        <v>130.08</v>
      </c>
      <c r="S67" s="14">
        <f t="shared" si="31"/>
        <v>130.08</v>
      </c>
      <c r="T67" s="14">
        <f t="shared" si="31"/>
        <v>130.08</v>
      </c>
      <c r="U67" s="66">
        <f t="shared" si="29"/>
        <v>130.08</v>
      </c>
    </row>
    <row r="68" spans="1:21" ht="12.75">
      <c r="A68" s="10" t="str">
        <f t="shared" si="27"/>
        <v>BC</v>
      </c>
      <c r="B68" s="14">
        <f aca="true" t="shared" si="32" ref="B68:T68">$B6</f>
        <v>92.5</v>
      </c>
      <c r="C68" s="14">
        <f t="shared" si="32"/>
        <v>92.5</v>
      </c>
      <c r="D68" s="14">
        <f t="shared" si="32"/>
        <v>92.5</v>
      </c>
      <c r="E68" s="14">
        <f t="shared" si="32"/>
        <v>92.5</v>
      </c>
      <c r="F68" s="14">
        <f t="shared" si="32"/>
        <v>92.5</v>
      </c>
      <c r="G68" s="14">
        <f t="shared" si="32"/>
        <v>92.5</v>
      </c>
      <c r="H68" s="14">
        <f t="shared" si="32"/>
        <v>92.5</v>
      </c>
      <c r="I68" s="14">
        <f t="shared" si="32"/>
        <v>92.5</v>
      </c>
      <c r="J68" s="14">
        <f t="shared" si="32"/>
        <v>92.5</v>
      </c>
      <c r="K68" s="14">
        <f t="shared" si="32"/>
        <v>92.5</v>
      </c>
      <c r="L68" s="14">
        <f t="shared" si="32"/>
        <v>92.5</v>
      </c>
      <c r="M68" s="14">
        <f t="shared" si="32"/>
        <v>92.5</v>
      </c>
      <c r="N68" s="14">
        <f t="shared" si="32"/>
        <v>92.5</v>
      </c>
      <c r="O68" s="14">
        <f t="shared" si="32"/>
        <v>92.5</v>
      </c>
      <c r="P68" s="14">
        <f t="shared" si="32"/>
        <v>92.5</v>
      </c>
      <c r="Q68" s="14">
        <f t="shared" si="32"/>
        <v>92.5</v>
      </c>
      <c r="R68" s="14">
        <f t="shared" si="32"/>
        <v>92.5</v>
      </c>
      <c r="S68" s="14">
        <f t="shared" si="32"/>
        <v>92.5</v>
      </c>
      <c r="T68" s="14">
        <f t="shared" si="32"/>
        <v>92.5</v>
      </c>
      <c r="U68" s="66">
        <f t="shared" si="29"/>
        <v>92.5</v>
      </c>
    </row>
    <row r="69" spans="1:21" ht="12.75">
      <c r="A69" s="10" t="str">
        <f t="shared" si="27"/>
        <v>BD</v>
      </c>
      <c r="B69" s="14">
        <f aca="true" t="shared" si="33" ref="B69:T69">$B7</f>
        <v>135.35</v>
      </c>
      <c r="C69" s="14">
        <f t="shared" si="33"/>
        <v>135.35</v>
      </c>
      <c r="D69" s="14">
        <f t="shared" si="33"/>
        <v>135.35</v>
      </c>
      <c r="E69" s="14">
        <f t="shared" si="33"/>
        <v>135.35</v>
      </c>
      <c r="F69" s="14">
        <f t="shared" si="33"/>
        <v>135.35</v>
      </c>
      <c r="G69" s="14">
        <f t="shared" si="33"/>
        <v>135.35</v>
      </c>
      <c r="H69" s="14">
        <f t="shared" si="33"/>
        <v>135.35</v>
      </c>
      <c r="I69" s="14">
        <f t="shared" si="33"/>
        <v>135.35</v>
      </c>
      <c r="J69" s="14">
        <f t="shared" si="33"/>
        <v>135.35</v>
      </c>
      <c r="K69" s="14">
        <f t="shared" si="33"/>
        <v>135.35</v>
      </c>
      <c r="L69" s="14">
        <f t="shared" si="33"/>
        <v>135.35</v>
      </c>
      <c r="M69" s="14">
        <f t="shared" si="33"/>
        <v>135.35</v>
      </c>
      <c r="N69" s="14">
        <f t="shared" si="33"/>
        <v>135.35</v>
      </c>
      <c r="O69" s="14">
        <f t="shared" si="33"/>
        <v>135.35</v>
      </c>
      <c r="P69" s="14">
        <f t="shared" si="33"/>
        <v>135.35</v>
      </c>
      <c r="Q69" s="14">
        <f t="shared" si="33"/>
        <v>135.35</v>
      </c>
      <c r="R69" s="14">
        <f t="shared" si="33"/>
        <v>135.35</v>
      </c>
      <c r="S69" s="14">
        <f t="shared" si="33"/>
        <v>135.35</v>
      </c>
      <c r="T69" s="14">
        <f t="shared" si="33"/>
        <v>135.35</v>
      </c>
      <c r="U69" s="66">
        <f t="shared" si="29"/>
        <v>135.35</v>
      </c>
    </row>
    <row r="70" spans="1:21" ht="12.75">
      <c r="A70" s="10" t="str">
        <f t="shared" si="27"/>
        <v>CD</v>
      </c>
      <c r="B70" s="14">
        <f aca="true" t="shared" si="34" ref="B70:T70">$B8</f>
        <v>43.5</v>
      </c>
      <c r="C70" s="14">
        <f t="shared" si="34"/>
        <v>43.5</v>
      </c>
      <c r="D70" s="14">
        <f t="shared" si="34"/>
        <v>43.5</v>
      </c>
      <c r="E70" s="14">
        <f t="shared" si="34"/>
        <v>43.5</v>
      </c>
      <c r="F70" s="14">
        <f t="shared" si="34"/>
        <v>43.5</v>
      </c>
      <c r="G70" s="14">
        <f t="shared" si="34"/>
        <v>43.5</v>
      </c>
      <c r="H70" s="14">
        <f t="shared" si="34"/>
        <v>43.5</v>
      </c>
      <c r="I70" s="14">
        <f t="shared" si="34"/>
        <v>43.5</v>
      </c>
      <c r="J70" s="14">
        <f t="shared" si="34"/>
        <v>43.5</v>
      </c>
      <c r="K70" s="14">
        <f t="shared" si="34"/>
        <v>43.5</v>
      </c>
      <c r="L70" s="14">
        <f t="shared" si="34"/>
        <v>43.5</v>
      </c>
      <c r="M70" s="14">
        <f t="shared" si="34"/>
        <v>43.5</v>
      </c>
      <c r="N70" s="14">
        <f t="shared" si="34"/>
        <v>43.5</v>
      </c>
      <c r="O70" s="14">
        <f t="shared" si="34"/>
        <v>43.5</v>
      </c>
      <c r="P70" s="14">
        <f t="shared" si="34"/>
        <v>43.5</v>
      </c>
      <c r="Q70" s="14">
        <f t="shared" si="34"/>
        <v>43.5</v>
      </c>
      <c r="R70" s="14">
        <f t="shared" si="34"/>
        <v>43.5</v>
      </c>
      <c r="S70" s="14">
        <f t="shared" si="34"/>
        <v>43.5</v>
      </c>
      <c r="T70" s="14">
        <f t="shared" si="34"/>
        <v>43.5</v>
      </c>
      <c r="U70" s="66">
        <f t="shared" si="29"/>
        <v>43.5</v>
      </c>
    </row>
    <row r="71" spans="1:21" ht="12.75">
      <c r="A71" s="10" t="str">
        <f>A10</f>
        <v>DP</v>
      </c>
      <c r="B71" s="14">
        <f>$B10</f>
        <v>103.17</v>
      </c>
      <c r="C71" s="14">
        <f aca="true" t="shared" si="35" ref="C71:T71">$B10</f>
        <v>103.17</v>
      </c>
      <c r="D71" s="14">
        <f t="shared" si="35"/>
        <v>103.17</v>
      </c>
      <c r="E71" s="14">
        <f t="shared" si="35"/>
        <v>103.17</v>
      </c>
      <c r="F71" s="14">
        <f t="shared" si="35"/>
        <v>103.17</v>
      </c>
      <c r="G71" s="14">
        <f t="shared" si="35"/>
        <v>103.17</v>
      </c>
      <c r="H71" s="14">
        <f t="shared" si="35"/>
        <v>103.17</v>
      </c>
      <c r="I71" s="14">
        <f t="shared" si="35"/>
        <v>103.17</v>
      </c>
      <c r="J71" s="14">
        <f t="shared" si="35"/>
        <v>103.17</v>
      </c>
      <c r="K71" s="14">
        <f t="shared" si="35"/>
        <v>103.17</v>
      </c>
      <c r="L71" s="14">
        <f t="shared" si="35"/>
        <v>103.17</v>
      </c>
      <c r="M71" s="14">
        <f t="shared" si="35"/>
        <v>103.17</v>
      </c>
      <c r="N71" s="14">
        <f t="shared" si="35"/>
        <v>103.17</v>
      </c>
      <c r="O71" s="14">
        <f t="shared" si="35"/>
        <v>103.17</v>
      </c>
      <c r="P71" s="14">
        <f t="shared" si="35"/>
        <v>103.17</v>
      </c>
      <c r="Q71" s="14">
        <f t="shared" si="35"/>
        <v>103.17</v>
      </c>
      <c r="R71" s="14">
        <f t="shared" si="35"/>
        <v>103.17</v>
      </c>
      <c r="S71" s="14">
        <f t="shared" si="35"/>
        <v>103.17</v>
      </c>
      <c r="T71" s="14">
        <f t="shared" si="35"/>
        <v>103.17</v>
      </c>
      <c r="U71" s="66">
        <f>$B10</f>
        <v>103.17</v>
      </c>
    </row>
    <row r="72" spans="1:21" ht="12.75">
      <c r="A72" s="10" t="str">
        <f>A11</f>
        <v>EP</v>
      </c>
      <c r="B72" s="14">
        <f>$B11</f>
        <v>155</v>
      </c>
      <c r="C72" s="14">
        <f aca="true" t="shared" si="36" ref="C72:T72">$B11</f>
        <v>155</v>
      </c>
      <c r="D72" s="14">
        <f t="shared" si="36"/>
        <v>155</v>
      </c>
      <c r="E72" s="14">
        <f t="shared" si="36"/>
        <v>155</v>
      </c>
      <c r="F72" s="14">
        <f t="shared" si="36"/>
        <v>155</v>
      </c>
      <c r="G72" s="14">
        <f t="shared" si="36"/>
        <v>155</v>
      </c>
      <c r="H72" s="14">
        <f t="shared" si="36"/>
        <v>155</v>
      </c>
      <c r="I72" s="14">
        <f t="shared" si="36"/>
        <v>155</v>
      </c>
      <c r="J72" s="14">
        <f t="shared" si="36"/>
        <v>155</v>
      </c>
      <c r="K72" s="14">
        <f t="shared" si="36"/>
        <v>155</v>
      </c>
      <c r="L72" s="14">
        <f t="shared" si="36"/>
        <v>155</v>
      </c>
      <c r="M72" s="14">
        <f t="shared" si="36"/>
        <v>155</v>
      </c>
      <c r="N72" s="14">
        <f t="shared" si="36"/>
        <v>155</v>
      </c>
      <c r="O72" s="14">
        <f t="shared" si="36"/>
        <v>155</v>
      </c>
      <c r="P72" s="14">
        <f t="shared" si="36"/>
        <v>155</v>
      </c>
      <c r="Q72" s="14">
        <f t="shared" si="36"/>
        <v>155</v>
      </c>
      <c r="R72" s="14">
        <f t="shared" si="36"/>
        <v>155</v>
      </c>
      <c r="S72" s="14">
        <f t="shared" si="36"/>
        <v>155</v>
      </c>
      <c r="T72" s="14">
        <f t="shared" si="36"/>
        <v>155</v>
      </c>
      <c r="U72" s="66">
        <f>$B11</f>
        <v>155</v>
      </c>
    </row>
    <row r="73" spans="1:21" ht="12.75">
      <c r="A73" s="10" t="str">
        <f>A12</f>
        <v>OP</v>
      </c>
      <c r="B73" s="14">
        <f>$B12</f>
        <v>585.6</v>
      </c>
      <c r="C73" s="14">
        <f aca="true" t="shared" si="37" ref="C73:T73">$B12</f>
        <v>585.6</v>
      </c>
      <c r="D73" s="14">
        <f t="shared" si="37"/>
        <v>585.6</v>
      </c>
      <c r="E73" s="14">
        <f t="shared" si="37"/>
        <v>585.6</v>
      </c>
      <c r="F73" s="14">
        <f t="shared" si="37"/>
        <v>585.6</v>
      </c>
      <c r="G73" s="14">
        <f t="shared" si="37"/>
        <v>585.6</v>
      </c>
      <c r="H73" s="14">
        <f t="shared" si="37"/>
        <v>585.6</v>
      </c>
      <c r="I73" s="14">
        <f t="shared" si="37"/>
        <v>585.6</v>
      </c>
      <c r="J73" s="14">
        <f t="shared" si="37"/>
        <v>585.6</v>
      </c>
      <c r="K73" s="14">
        <f t="shared" si="37"/>
        <v>585.6</v>
      </c>
      <c r="L73" s="14">
        <f t="shared" si="37"/>
        <v>585.6</v>
      </c>
      <c r="M73" s="14">
        <f t="shared" si="37"/>
        <v>585.6</v>
      </c>
      <c r="N73" s="14">
        <f t="shared" si="37"/>
        <v>585.6</v>
      </c>
      <c r="O73" s="14">
        <f t="shared" si="37"/>
        <v>585.6</v>
      </c>
      <c r="P73" s="14">
        <f t="shared" si="37"/>
        <v>585.6</v>
      </c>
      <c r="Q73" s="14">
        <f t="shared" si="37"/>
        <v>585.6</v>
      </c>
      <c r="R73" s="14">
        <f t="shared" si="37"/>
        <v>585.6</v>
      </c>
      <c r="S73" s="14">
        <f t="shared" si="37"/>
        <v>585.6</v>
      </c>
      <c r="T73" s="14">
        <f t="shared" si="37"/>
        <v>585.6</v>
      </c>
      <c r="U73" s="66">
        <f>$B12</f>
        <v>585.6</v>
      </c>
    </row>
    <row r="74" spans="1:21" ht="12.75">
      <c r="A74" s="10" t="str">
        <f>A13</f>
        <v>Inclinaison PO % horizontale (-+) D°</v>
      </c>
      <c r="B74" s="14">
        <f>$B13</f>
        <v>-8</v>
      </c>
      <c r="C74" s="14">
        <f aca="true" t="shared" si="38" ref="C74:T74">$B13</f>
        <v>-8</v>
      </c>
      <c r="D74" s="14">
        <f t="shared" si="38"/>
        <v>-8</v>
      </c>
      <c r="E74" s="14">
        <f t="shared" si="38"/>
        <v>-8</v>
      </c>
      <c r="F74" s="14">
        <f t="shared" si="38"/>
        <v>-8</v>
      </c>
      <c r="G74" s="14">
        <f t="shared" si="38"/>
        <v>-8</v>
      </c>
      <c r="H74" s="14">
        <f t="shared" si="38"/>
        <v>-8</v>
      </c>
      <c r="I74" s="14">
        <f t="shared" si="38"/>
        <v>-8</v>
      </c>
      <c r="J74" s="14">
        <f t="shared" si="38"/>
        <v>-8</v>
      </c>
      <c r="K74" s="14">
        <f t="shared" si="38"/>
        <v>-8</v>
      </c>
      <c r="L74" s="14">
        <f t="shared" si="38"/>
        <v>-8</v>
      </c>
      <c r="M74" s="14">
        <f t="shared" si="38"/>
        <v>-8</v>
      </c>
      <c r="N74" s="14">
        <f t="shared" si="38"/>
        <v>-8</v>
      </c>
      <c r="O74" s="14">
        <f t="shared" si="38"/>
        <v>-8</v>
      </c>
      <c r="P74" s="14">
        <f t="shared" si="38"/>
        <v>-8</v>
      </c>
      <c r="Q74" s="14">
        <f t="shared" si="38"/>
        <v>-8</v>
      </c>
      <c r="R74" s="14">
        <f t="shared" si="38"/>
        <v>-8</v>
      </c>
      <c r="S74" s="14">
        <f t="shared" si="38"/>
        <v>-8</v>
      </c>
      <c r="T74" s="14">
        <f t="shared" si="38"/>
        <v>-8</v>
      </c>
      <c r="U74" s="66">
        <f>$B13</f>
        <v>-8</v>
      </c>
    </row>
    <row r="75" spans="1:21" ht="12.75">
      <c r="A75" s="10" t="str">
        <f>A14</f>
        <v>Débattement de roue max (mm)</v>
      </c>
      <c r="B75" s="14">
        <f>$B14</f>
        <v>158</v>
      </c>
      <c r="C75" s="14">
        <f aca="true" t="shared" si="39" ref="C75:T75">$B14</f>
        <v>158</v>
      </c>
      <c r="D75" s="14">
        <f t="shared" si="39"/>
        <v>158</v>
      </c>
      <c r="E75" s="14">
        <f t="shared" si="39"/>
        <v>158</v>
      </c>
      <c r="F75" s="14">
        <f t="shared" si="39"/>
        <v>158</v>
      </c>
      <c r="G75" s="14">
        <f t="shared" si="39"/>
        <v>158</v>
      </c>
      <c r="H75" s="14">
        <f t="shared" si="39"/>
        <v>158</v>
      </c>
      <c r="I75" s="14">
        <f t="shared" si="39"/>
        <v>158</v>
      </c>
      <c r="J75" s="14">
        <f t="shared" si="39"/>
        <v>158</v>
      </c>
      <c r="K75" s="14">
        <f t="shared" si="39"/>
        <v>158</v>
      </c>
      <c r="L75" s="14">
        <f t="shared" si="39"/>
        <v>158</v>
      </c>
      <c r="M75" s="14">
        <f t="shared" si="39"/>
        <v>158</v>
      </c>
      <c r="N75" s="14">
        <f t="shared" si="39"/>
        <v>158</v>
      </c>
      <c r="O75" s="14">
        <f t="shared" si="39"/>
        <v>158</v>
      </c>
      <c r="P75" s="14">
        <f t="shared" si="39"/>
        <v>158</v>
      </c>
      <c r="Q75" s="14">
        <f t="shared" si="39"/>
        <v>158</v>
      </c>
      <c r="R75" s="14">
        <f t="shared" si="39"/>
        <v>158</v>
      </c>
      <c r="S75" s="14">
        <f t="shared" si="39"/>
        <v>158</v>
      </c>
      <c r="T75" s="14">
        <f t="shared" si="39"/>
        <v>158</v>
      </c>
      <c r="U75" s="66">
        <f>$B14</f>
        <v>158</v>
      </c>
    </row>
    <row r="76" spans="1:21" ht="12.75">
      <c r="A76" s="10" t="str">
        <f aca="true" t="shared" si="40" ref="A76:A84">A20</f>
        <v>Angle PDA fixe</v>
      </c>
      <c r="B76" s="14">
        <f aca="true" t="shared" si="41" ref="B76:U76">ACOS((B66^2+B71^2-B67^2)/2/B71/B66)</f>
        <v>0.2215874593619176</v>
      </c>
      <c r="C76" s="14">
        <f t="shared" si="41"/>
        <v>0.2215874593619176</v>
      </c>
      <c r="D76" s="14">
        <f t="shared" si="41"/>
        <v>0.2215874593619176</v>
      </c>
      <c r="E76" s="14">
        <f t="shared" si="41"/>
        <v>0.2215874593619176</v>
      </c>
      <c r="F76" s="14">
        <f t="shared" si="41"/>
        <v>0.2215874593619176</v>
      </c>
      <c r="G76" s="14">
        <f t="shared" si="41"/>
        <v>0.2215874593619176</v>
      </c>
      <c r="H76" s="14">
        <f t="shared" si="41"/>
        <v>0.2215874593619176</v>
      </c>
      <c r="I76" s="14">
        <f t="shared" si="41"/>
        <v>0.2215874593619176</v>
      </c>
      <c r="J76" s="14">
        <f t="shared" si="41"/>
        <v>0.2215874593619176</v>
      </c>
      <c r="K76" s="14">
        <f t="shared" si="41"/>
        <v>0.2215874593619176</v>
      </c>
      <c r="L76" s="14">
        <f t="shared" si="41"/>
        <v>0.2215874593619176</v>
      </c>
      <c r="M76" s="14">
        <f t="shared" si="41"/>
        <v>0.2215874593619176</v>
      </c>
      <c r="N76" s="14">
        <f t="shared" si="41"/>
        <v>0.2215874593619176</v>
      </c>
      <c r="O76" s="14">
        <f t="shared" si="41"/>
        <v>0.2215874593619176</v>
      </c>
      <c r="P76" s="14">
        <f t="shared" si="41"/>
        <v>0.2215874593619176</v>
      </c>
      <c r="Q76" s="14">
        <f t="shared" si="41"/>
        <v>0.2215874593619176</v>
      </c>
      <c r="R76" s="14">
        <f t="shared" si="41"/>
        <v>0.2215874593619176</v>
      </c>
      <c r="S76" s="14">
        <f t="shared" si="41"/>
        <v>0.2215874593619176</v>
      </c>
      <c r="T76" s="14">
        <f t="shared" si="41"/>
        <v>0.2215874593619176</v>
      </c>
      <c r="U76" s="66">
        <f t="shared" si="41"/>
        <v>0.2215874593619176</v>
      </c>
    </row>
    <row r="77" spans="1:21" ht="12.75">
      <c r="A77" s="10" t="str">
        <f t="shared" si="40"/>
        <v>Angle ADB d'origine</v>
      </c>
      <c r="B77" s="14">
        <f>ACOS((B66^2+B69^2-B65^2)/2/B66/B69)</f>
        <v>2.016704924631056</v>
      </c>
      <c r="C77" s="14">
        <f aca="true" t="shared" si="42" ref="C77:T77">ACOS((C66^2+C69^2-C65^2)/2/C66/C69)</f>
        <v>2.016704924631056</v>
      </c>
      <c r="D77" s="14">
        <f t="shared" si="42"/>
        <v>2.016704924631056</v>
      </c>
      <c r="E77" s="14">
        <f t="shared" si="42"/>
        <v>2.016704924631056</v>
      </c>
      <c r="F77" s="14">
        <f t="shared" si="42"/>
        <v>2.016704924631056</v>
      </c>
      <c r="G77" s="14">
        <f t="shared" si="42"/>
        <v>2.016704924631056</v>
      </c>
      <c r="H77" s="14">
        <f t="shared" si="42"/>
        <v>2.016704924631056</v>
      </c>
      <c r="I77" s="14">
        <f t="shared" si="42"/>
        <v>2.016704924631056</v>
      </c>
      <c r="J77" s="14">
        <f t="shared" si="42"/>
        <v>2.016704924631056</v>
      </c>
      <c r="K77" s="14">
        <f t="shared" si="42"/>
        <v>2.016704924631056</v>
      </c>
      <c r="L77" s="14">
        <f t="shared" si="42"/>
        <v>2.016704924631056</v>
      </c>
      <c r="M77" s="14">
        <f t="shared" si="42"/>
        <v>2.016704924631056</v>
      </c>
      <c r="N77" s="14">
        <f t="shared" si="42"/>
        <v>2.016704924631056</v>
      </c>
      <c r="O77" s="14">
        <f t="shared" si="42"/>
        <v>2.016704924631056</v>
      </c>
      <c r="P77" s="14">
        <f t="shared" si="42"/>
        <v>2.016704924631056</v>
      </c>
      <c r="Q77" s="14">
        <f t="shared" si="42"/>
        <v>2.016704924631056</v>
      </c>
      <c r="R77" s="14">
        <f t="shared" si="42"/>
        <v>2.016704924631056</v>
      </c>
      <c r="S77" s="14">
        <f t="shared" si="42"/>
        <v>2.016704924631056</v>
      </c>
      <c r="T77" s="14">
        <f t="shared" si="42"/>
        <v>2.016704924631056</v>
      </c>
      <c r="U77" s="66">
        <f>ACOS((U66^2+U69^2-U65^2)/2/U66/U69)</f>
        <v>2.016704924631056</v>
      </c>
    </row>
    <row r="78" spans="1:21" ht="12.75">
      <c r="A78" s="10" t="str">
        <f t="shared" si="40"/>
        <v>Angle BDC fixe</v>
      </c>
      <c r="B78" s="14">
        <f>ACOS((B69^2+B70^2-B68^2)/2/B69/B70)</f>
        <v>0.14278200069082203</v>
      </c>
      <c r="C78" s="14">
        <f aca="true" t="shared" si="43" ref="C78:T78">ACOS((C69^2+C70^2-C68^2)/2/C69/C70)</f>
        <v>0.14278200069082203</v>
      </c>
      <c r="D78" s="14">
        <f t="shared" si="43"/>
        <v>0.14278200069082203</v>
      </c>
      <c r="E78" s="14">
        <f t="shared" si="43"/>
        <v>0.14278200069082203</v>
      </c>
      <c r="F78" s="14">
        <f t="shared" si="43"/>
        <v>0.14278200069082203</v>
      </c>
      <c r="G78" s="14">
        <f t="shared" si="43"/>
        <v>0.14278200069082203</v>
      </c>
      <c r="H78" s="14">
        <f t="shared" si="43"/>
        <v>0.14278200069082203</v>
      </c>
      <c r="I78" s="14">
        <f t="shared" si="43"/>
        <v>0.14278200069082203</v>
      </c>
      <c r="J78" s="14">
        <f t="shared" si="43"/>
        <v>0.14278200069082203</v>
      </c>
      <c r="K78" s="14">
        <f t="shared" si="43"/>
        <v>0.14278200069082203</v>
      </c>
      <c r="L78" s="14">
        <f t="shared" si="43"/>
        <v>0.14278200069082203</v>
      </c>
      <c r="M78" s="14">
        <f t="shared" si="43"/>
        <v>0.14278200069082203</v>
      </c>
      <c r="N78" s="14">
        <f t="shared" si="43"/>
        <v>0.14278200069082203</v>
      </c>
      <c r="O78" s="14">
        <f t="shared" si="43"/>
        <v>0.14278200069082203</v>
      </c>
      <c r="P78" s="14">
        <f t="shared" si="43"/>
        <v>0.14278200069082203</v>
      </c>
      <c r="Q78" s="14">
        <f t="shared" si="43"/>
        <v>0.14278200069082203</v>
      </c>
      <c r="R78" s="14">
        <f t="shared" si="43"/>
        <v>0.14278200069082203</v>
      </c>
      <c r="S78" s="14">
        <f t="shared" si="43"/>
        <v>0.14278200069082203</v>
      </c>
      <c r="T78" s="14">
        <f t="shared" si="43"/>
        <v>0.14278200069082203</v>
      </c>
      <c r="U78" s="66">
        <f>ACOS((U69^2+U70^2-U68^2)/2/U69/U70)</f>
        <v>0.14278200069082203</v>
      </c>
    </row>
    <row r="79" spans="1:21" ht="12.75">
      <c r="A79" s="10" t="str">
        <f t="shared" si="40"/>
        <v>Angle PDC d'origine</v>
      </c>
      <c r="B79" s="14">
        <f>SUM(B76:B78)</f>
        <v>2.381074384683796</v>
      </c>
      <c r="C79" s="14">
        <f aca="true" t="shared" si="44" ref="C79:U79">SUM(C76:C78)</f>
        <v>2.381074384683796</v>
      </c>
      <c r="D79" s="14">
        <f t="shared" si="44"/>
        <v>2.381074384683796</v>
      </c>
      <c r="E79" s="14">
        <f t="shared" si="44"/>
        <v>2.381074384683796</v>
      </c>
      <c r="F79" s="14">
        <f t="shared" si="44"/>
        <v>2.381074384683796</v>
      </c>
      <c r="G79" s="14">
        <f t="shared" si="44"/>
        <v>2.381074384683796</v>
      </c>
      <c r="H79" s="14">
        <f t="shared" si="44"/>
        <v>2.381074384683796</v>
      </c>
      <c r="I79" s="14">
        <f t="shared" si="44"/>
        <v>2.381074384683796</v>
      </c>
      <c r="J79" s="14">
        <f t="shared" si="44"/>
        <v>2.381074384683796</v>
      </c>
      <c r="K79" s="14">
        <f t="shared" si="44"/>
        <v>2.381074384683796</v>
      </c>
      <c r="L79" s="14">
        <f t="shared" si="44"/>
        <v>2.381074384683796</v>
      </c>
      <c r="M79" s="14">
        <f t="shared" si="44"/>
        <v>2.381074384683796</v>
      </c>
      <c r="N79" s="14">
        <f t="shared" si="44"/>
        <v>2.381074384683796</v>
      </c>
      <c r="O79" s="14">
        <f t="shared" si="44"/>
        <v>2.381074384683796</v>
      </c>
      <c r="P79" s="14">
        <f t="shared" si="44"/>
        <v>2.381074384683796</v>
      </c>
      <c r="Q79" s="14">
        <f t="shared" si="44"/>
        <v>2.381074384683796</v>
      </c>
      <c r="R79" s="14">
        <f t="shared" si="44"/>
        <v>2.381074384683796</v>
      </c>
      <c r="S79" s="14">
        <f t="shared" si="44"/>
        <v>2.381074384683796</v>
      </c>
      <c r="T79" s="14">
        <f t="shared" si="44"/>
        <v>2.381074384683796</v>
      </c>
      <c r="U79" s="66">
        <f t="shared" si="44"/>
        <v>2.381074384683796</v>
      </c>
    </row>
    <row r="80" spans="1:21" ht="12.75">
      <c r="A80" s="10" t="str">
        <f t="shared" si="40"/>
        <v>Distance PC d'origine</v>
      </c>
      <c r="B80" s="14">
        <f aca="true" t="shared" si="45" ref="B80:U80">SQRT(B71^2+B70^2-2*COS(B79)*B71*B70)</f>
        <v>137.98213314866032</v>
      </c>
      <c r="C80" s="14">
        <f t="shared" si="45"/>
        <v>137.98213314866032</v>
      </c>
      <c r="D80" s="14">
        <f t="shared" si="45"/>
        <v>137.98213314866032</v>
      </c>
      <c r="E80" s="14">
        <f t="shared" si="45"/>
        <v>137.98213314866032</v>
      </c>
      <c r="F80" s="14">
        <f t="shared" si="45"/>
        <v>137.98213314866032</v>
      </c>
      <c r="G80" s="14">
        <f t="shared" si="45"/>
        <v>137.98213314866032</v>
      </c>
      <c r="H80" s="14">
        <f t="shared" si="45"/>
        <v>137.98213314866032</v>
      </c>
      <c r="I80" s="14">
        <f t="shared" si="45"/>
        <v>137.98213314866032</v>
      </c>
      <c r="J80" s="14">
        <f t="shared" si="45"/>
        <v>137.98213314866032</v>
      </c>
      <c r="K80" s="14">
        <f t="shared" si="45"/>
        <v>137.98213314866032</v>
      </c>
      <c r="L80" s="14">
        <f t="shared" si="45"/>
        <v>137.98213314866032</v>
      </c>
      <c r="M80" s="14">
        <f t="shared" si="45"/>
        <v>137.98213314866032</v>
      </c>
      <c r="N80" s="14">
        <f t="shared" si="45"/>
        <v>137.98213314866032</v>
      </c>
      <c r="O80" s="14">
        <f t="shared" si="45"/>
        <v>137.98213314866032</v>
      </c>
      <c r="P80" s="14">
        <f t="shared" si="45"/>
        <v>137.98213314866032</v>
      </c>
      <c r="Q80" s="14">
        <f t="shared" si="45"/>
        <v>137.98213314866032</v>
      </c>
      <c r="R80" s="14">
        <f t="shared" si="45"/>
        <v>137.98213314866032</v>
      </c>
      <c r="S80" s="14">
        <f t="shared" si="45"/>
        <v>137.98213314866032</v>
      </c>
      <c r="T80" s="14">
        <f t="shared" si="45"/>
        <v>137.98213314866032</v>
      </c>
      <c r="U80" s="66">
        <f t="shared" si="45"/>
        <v>137.98213314866032</v>
      </c>
    </row>
    <row r="81" spans="1:21" ht="12.75">
      <c r="A81" s="10" t="str">
        <f t="shared" si="40"/>
        <v>Angle DPC d'origine</v>
      </c>
      <c r="B81" s="14">
        <f aca="true" t="shared" si="46" ref="B81:U81">ACOS((B71^2+B80^2-B70^2)/2/B71/B80)</f>
        <v>0.2190542194512004</v>
      </c>
      <c r="C81" s="14">
        <f t="shared" si="46"/>
        <v>0.2190542194512004</v>
      </c>
      <c r="D81" s="14">
        <f t="shared" si="46"/>
        <v>0.2190542194512004</v>
      </c>
      <c r="E81" s="14">
        <f t="shared" si="46"/>
        <v>0.2190542194512004</v>
      </c>
      <c r="F81" s="14">
        <f t="shared" si="46"/>
        <v>0.2190542194512004</v>
      </c>
      <c r="G81" s="14">
        <f t="shared" si="46"/>
        <v>0.2190542194512004</v>
      </c>
      <c r="H81" s="14">
        <f t="shared" si="46"/>
        <v>0.2190542194512004</v>
      </c>
      <c r="I81" s="14">
        <f t="shared" si="46"/>
        <v>0.2190542194512004</v>
      </c>
      <c r="J81" s="14">
        <f t="shared" si="46"/>
        <v>0.2190542194512004</v>
      </c>
      <c r="K81" s="14">
        <f t="shared" si="46"/>
        <v>0.2190542194512004</v>
      </c>
      <c r="L81" s="14">
        <f t="shared" si="46"/>
        <v>0.2190542194512004</v>
      </c>
      <c r="M81" s="14">
        <f t="shared" si="46"/>
        <v>0.2190542194512004</v>
      </c>
      <c r="N81" s="14">
        <f t="shared" si="46"/>
        <v>0.2190542194512004</v>
      </c>
      <c r="O81" s="14">
        <f t="shared" si="46"/>
        <v>0.2190542194512004</v>
      </c>
      <c r="P81" s="14">
        <f t="shared" si="46"/>
        <v>0.2190542194512004</v>
      </c>
      <c r="Q81" s="14">
        <f t="shared" si="46"/>
        <v>0.2190542194512004</v>
      </c>
      <c r="R81" s="14">
        <f t="shared" si="46"/>
        <v>0.2190542194512004</v>
      </c>
      <c r="S81" s="14">
        <f t="shared" si="46"/>
        <v>0.2190542194512004</v>
      </c>
      <c r="T81" s="14">
        <f t="shared" si="46"/>
        <v>0.2190542194512004</v>
      </c>
      <c r="U81" s="66">
        <f t="shared" si="46"/>
        <v>0.2190542194512004</v>
      </c>
    </row>
    <row r="82" spans="1:21" ht="12.75">
      <c r="A82" s="10" t="str">
        <f t="shared" si="40"/>
        <v>Angle CPE d'origine</v>
      </c>
      <c r="B82" s="14">
        <f aca="true" t="shared" si="47" ref="B82:U82">ACOS((B80^2+B72^2-B64^2)/2/B80/B72)</f>
        <v>1.3982722802545549</v>
      </c>
      <c r="C82" s="14">
        <f t="shared" si="47"/>
        <v>1.331898089910934</v>
      </c>
      <c r="D82" s="14">
        <f t="shared" si="47"/>
        <v>1.3396165010025491</v>
      </c>
      <c r="E82" s="14">
        <f t="shared" si="47"/>
        <v>1.3473582447178871</v>
      </c>
      <c r="F82" s="14">
        <f t="shared" si="47"/>
        <v>1.3551236588283444</v>
      </c>
      <c r="G82" s="14">
        <f t="shared" si="47"/>
        <v>1.3629130876802902</v>
      </c>
      <c r="H82" s="14">
        <f t="shared" si="47"/>
        <v>1.3707268823895329</v>
      </c>
      <c r="I82" s="14">
        <f t="shared" si="47"/>
        <v>1.3785654010429107</v>
      </c>
      <c r="J82" s="14">
        <f t="shared" si="47"/>
        <v>1.3864290089073301</v>
      </c>
      <c r="K82" s="14">
        <f t="shared" si="47"/>
        <v>1.3943180786466083</v>
      </c>
      <c r="L82" s="14">
        <f t="shared" si="47"/>
        <v>1.4022329905464808</v>
      </c>
      <c r="M82" s="14">
        <f t="shared" si="47"/>
        <v>1.4101741327481654</v>
      </c>
      <c r="N82" s="14">
        <f t="shared" si="47"/>
        <v>1.418141901490895</v>
      </c>
      <c r="O82" s="14">
        <f t="shared" si="47"/>
        <v>1.4261367013638417</v>
      </c>
      <c r="P82" s="14">
        <f t="shared" si="47"/>
        <v>1.4341589455679062</v>
      </c>
      <c r="Q82" s="14">
        <f t="shared" si="47"/>
        <v>1.4422090561878367</v>
      </c>
      <c r="R82" s="14">
        <f t="shared" si="47"/>
        <v>1.450287464475204</v>
      </c>
      <c r="S82" s="14">
        <f t="shared" si="47"/>
        <v>1.4583946111427672</v>
      </c>
      <c r="T82" s="14">
        <f t="shared" si="47"/>
        <v>1.4665309466708023</v>
      </c>
      <c r="U82" s="66">
        <f t="shared" si="47"/>
        <v>1.3101530930090846</v>
      </c>
    </row>
    <row r="83" spans="1:21" ht="12.75">
      <c r="A83" s="10" t="str">
        <f t="shared" si="40"/>
        <v>Angle DPE d'origine</v>
      </c>
      <c r="B83" s="14">
        <f>SUM(B81:B82)</f>
        <v>1.6173264997057553</v>
      </c>
      <c r="C83" s="14">
        <f aca="true" t="shared" si="48" ref="C83:U83">SUM(C81:C82)</f>
        <v>1.5509523093621345</v>
      </c>
      <c r="D83" s="14">
        <f t="shared" si="48"/>
        <v>1.5586707204537495</v>
      </c>
      <c r="E83" s="14">
        <f t="shared" si="48"/>
        <v>1.5664124641690875</v>
      </c>
      <c r="F83" s="14">
        <f t="shared" si="48"/>
        <v>1.5741778782795448</v>
      </c>
      <c r="G83" s="14">
        <f t="shared" si="48"/>
        <v>1.5819673071314906</v>
      </c>
      <c r="H83" s="14">
        <f t="shared" si="48"/>
        <v>1.5897811018407333</v>
      </c>
      <c r="I83" s="14">
        <f t="shared" si="48"/>
        <v>1.597619620494111</v>
      </c>
      <c r="J83" s="14">
        <f t="shared" si="48"/>
        <v>1.6054832283585305</v>
      </c>
      <c r="K83" s="14">
        <f t="shared" si="48"/>
        <v>1.6133722980978087</v>
      </c>
      <c r="L83" s="14">
        <f t="shared" si="48"/>
        <v>1.6212872099976812</v>
      </c>
      <c r="M83" s="14">
        <f t="shared" si="48"/>
        <v>1.6292283521993658</v>
      </c>
      <c r="N83" s="14">
        <f t="shared" si="48"/>
        <v>1.6371961209420953</v>
      </c>
      <c r="O83" s="14">
        <f t="shared" si="48"/>
        <v>1.6451909208150421</v>
      </c>
      <c r="P83" s="14">
        <f t="shared" si="48"/>
        <v>1.6532131650191066</v>
      </c>
      <c r="Q83" s="14">
        <f t="shared" si="48"/>
        <v>1.661263275639037</v>
      </c>
      <c r="R83" s="14">
        <f t="shared" si="48"/>
        <v>1.6693416839264044</v>
      </c>
      <c r="S83" s="14">
        <f t="shared" si="48"/>
        <v>1.6774488305939677</v>
      </c>
      <c r="T83" s="14">
        <f t="shared" si="48"/>
        <v>1.6855851661220027</v>
      </c>
      <c r="U83" s="66">
        <f t="shared" si="48"/>
        <v>1.529207312460285</v>
      </c>
    </row>
    <row r="84" spans="1:21" ht="12.75">
      <c r="A84" s="10" t="str">
        <f t="shared" si="40"/>
        <v>Distance de O à l'horizontale de P</v>
      </c>
      <c r="B84" s="14">
        <f>B73*SIN(B74*PI()/180)</f>
        <v>-81.49976792221432</v>
      </c>
      <c r="C84" s="14">
        <f aca="true" t="shared" si="49" ref="C84:T84">C73*SIN(C74*PI()/180)</f>
        <v>-81.49976792221432</v>
      </c>
      <c r="D84" s="14">
        <f t="shared" si="49"/>
        <v>-81.49976792221432</v>
      </c>
      <c r="E84" s="14">
        <f t="shared" si="49"/>
        <v>-81.49976792221432</v>
      </c>
      <c r="F84" s="14">
        <f t="shared" si="49"/>
        <v>-81.49976792221432</v>
      </c>
      <c r="G84" s="14">
        <f t="shared" si="49"/>
        <v>-81.49976792221432</v>
      </c>
      <c r="H84" s="14">
        <f t="shared" si="49"/>
        <v>-81.49976792221432</v>
      </c>
      <c r="I84" s="14">
        <f t="shared" si="49"/>
        <v>-81.49976792221432</v>
      </c>
      <c r="J84" s="14">
        <f t="shared" si="49"/>
        <v>-81.49976792221432</v>
      </c>
      <c r="K84" s="14">
        <f t="shared" si="49"/>
        <v>-81.49976792221432</v>
      </c>
      <c r="L84" s="14">
        <f t="shared" si="49"/>
        <v>-81.49976792221432</v>
      </c>
      <c r="M84" s="14">
        <f t="shared" si="49"/>
        <v>-81.49976792221432</v>
      </c>
      <c r="N84" s="14">
        <f t="shared" si="49"/>
        <v>-81.49976792221432</v>
      </c>
      <c r="O84" s="14">
        <f t="shared" si="49"/>
        <v>-81.49976792221432</v>
      </c>
      <c r="P84" s="14">
        <f t="shared" si="49"/>
        <v>-81.49976792221432</v>
      </c>
      <c r="Q84" s="14">
        <f t="shared" si="49"/>
        <v>-81.49976792221432</v>
      </c>
      <c r="R84" s="14">
        <f t="shared" si="49"/>
        <v>-81.49976792221432</v>
      </c>
      <c r="S84" s="14">
        <f t="shared" si="49"/>
        <v>-81.49976792221432</v>
      </c>
      <c r="T84" s="14">
        <f t="shared" si="49"/>
        <v>-81.49976792221432</v>
      </c>
      <c r="U84" s="66">
        <f>U73*SIN(U74*PI()/180)</f>
        <v>-81.49976792221432</v>
      </c>
    </row>
    <row r="85" spans="1:21" ht="12.75">
      <c r="A85" s="10"/>
      <c r="B85" s="14">
        <f>B83-$B$83</f>
        <v>0</v>
      </c>
      <c r="C85" s="14">
        <f>C83-$B$83</f>
        <v>-0.0663741903436208</v>
      </c>
      <c r="D85" s="14">
        <f aca="true" t="shared" si="50" ref="D85:T85">D83-$B$83</f>
        <v>-0.05865577925200571</v>
      </c>
      <c r="E85" s="14">
        <f t="shared" si="50"/>
        <v>-0.050914035536667734</v>
      </c>
      <c r="F85" s="14">
        <f t="shared" si="50"/>
        <v>-0.043148621426210454</v>
      </c>
      <c r="G85" s="14">
        <f t="shared" si="50"/>
        <v>-0.035359192574264675</v>
      </c>
      <c r="H85" s="14">
        <f t="shared" si="50"/>
        <v>-0.02754539786502197</v>
      </c>
      <c r="I85" s="14">
        <f t="shared" si="50"/>
        <v>-0.019706879211644157</v>
      </c>
      <c r="J85" s="14">
        <f t="shared" si="50"/>
        <v>-0.011843271347224738</v>
      </c>
      <c r="K85" s="14">
        <f t="shared" si="50"/>
        <v>-0.0039542016079465725</v>
      </c>
      <c r="L85" s="14">
        <f t="shared" si="50"/>
        <v>0.003960710291925906</v>
      </c>
      <c r="M85" s="14">
        <f t="shared" si="50"/>
        <v>0.011901852493610532</v>
      </c>
      <c r="N85" s="14">
        <f t="shared" si="50"/>
        <v>0.019869621236340063</v>
      </c>
      <c r="O85" s="14">
        <f t="shared" si="50"/>
        <v>0.027864421109286885</v>
      </c>
      <c r="P85" s="14">
        <f t="shared" si="50"/>
        <v>0.035886665313351385</v>
      </c>
      <c r="Q85" s="14">
        <f t="shared" si="50"/>
        <v>0.043936775933281824</v>
      </c>
      <c r="R85" s="14">
        <f t="shared" si="50"/>
        <v>0.0520151842206491</v>
      </c>
      <c r="S85" s="14">
        <f t="shared" si="50"/>
        <v>0.060122330888212394</v>
      </c>
      <c r="T85" s="14">
        <f t="shared" si="50"/>
        <v>0.06825866641624745</v>
      </c>
      <c r="U85" s="66">
        <f>U83-$B$83</f>
        <v>-0.0881191872454703</v>
      </c>
    </row>
    <row r="86" spans="1:21" ht="12.75">
      <c r="A86" s="10"/>
      <c r="B86" s="14">
        <f>B85+B74*PI()/180</f>
        <v>-0.13962634015954636</v>
      </c>
      <c r="C86" s="14">
        <f>C85+C74*PI()/180</f>
        <v>-0.20600053050316716</v>
      </c>
      <c r="D86" s="14">
        <f aca="true" t="shared" si="51" ref="D86:U86">D74*PI()/180+D85</f>
        <v>-0.19828211941155208</v>
      </c>
      <c r="E86" s="14">
        <f t="shared" si="51"/>
        <v>-0.1905403756962141</v>
      </c>
      <c r="F86" s="14">
        <f t="shared" si="51"/>
        <v>-0.18277496158575682</v>
      </c>
      <c r="G86" s="14">
        <f t="shared" si="51"/>
        <v>-0.17498553273381104</v>
      </c>
      <c r="H86" s="14">
        <f t="shared" si="51"/>
        <v>-0.16717173802456833</v>
      </c>
      <c r="I86" s="14">
        <f t="shared" si="51"/>
        <v>-0.15933321937119052</v>
      </c>
      <c r="J86" s="14">
        <f t="shared" si="51"/>
        <v>-0.1514696115067711</v>
      </c>
      <c r="K86" s="14">
        <f t="shared" si="51"/>
        <v>-0.14358054176749294</v>
      </c>
      <c r="L86" s="14">
        <f t="shared" si="51"/>
        <v>-0.13566562986762046</v>
      </c>
      <c r="M86" s="14">
        <f t="shared" si="51"/>
        <v>-0.12772448766593583</v>
      </c>
      <c r="N86" s="14">
        <f t="shared" si="51"/>
        <v>-0.1197567189232063</v>
      </c>
      <c r="O86" s="14">
        <f t="shared" si="51"/>
        <v>-0.11176191905025948</v>
      </c>
      <c r="P86" s="14">
        <f t="shared" si="51"/>
        <v>-0.10373967484619498</v>
      </c>
      <c r="Q86" s="14">
        <f t="shared" si="51"/>
        <v>-0.09568956422626454</v>
      </c>
      <c r="R86" s="14">
        <f t="shared" si="51"/>
        <v>-0.08761115593889726</v>
      </c>
      <c r="S86" s="14">
        <f t="shared" si="51"/>
        <v>-0.07950400927133397</v>
      </c>
      <c r="T86" s="14">
        <f t="shared" si="51"/>
        <v>-0.07136767374329892</v>
      </c>
      <c r="U86" s="66">
        <f t="shared" si="51"/>
        <v>-0.22774552740501666</v>
      </c>
    </row>
    <row r="87" spans="1:21" ht="12.75">
      <c r="A87" s="10"/>
      <c r="B87" s="14">
        <f aca="true" t="shared" si="52" ref="B87:U87">B73*SIN(B86)</f>
        <v>-81.49976792221432</v>
      </c>
      <c r="C87" s="14">
        <f t="shared" si="52"/>
        <v>-119.78251134703173</v>
      </c>
      <c r="D87" s="14">
        <f t="shared" si="52"/>
        <v>-115.35465089931562</v>
      </c>
      <c r="E87" s="14">
        <f t="shared" si="52"/>
        <v>-110.90650209154937</v>
      </c>
      <c r="F87" s="14">
        <f t="shared" si="52"/>
        <v>-106.43807571465479</v>
      </c>
      <c r="G87" s="14">
        <f t="shared" si="52"/>
        <v>-101.94938273029697</v>
      </c>
      <c r="H87" s="14">
        <f t="shared" si="52"/>
        <v>-97.44043427541455</v>
      </c>
      <c r="I87" s="14">
        <f t="shared" si="52"/>
        <v>-92.91124166691121</v>
      </c>
      <c r="J87" s="14">
        <f t="shared" si="52"/>
        <v>-88.36181640651917</v>
      </c>
      <c r="K87" s="14">
        <f t="shared" si="52"/>
        <v>-83.79217018583866</v>
      </c>
      <c r="L87" s="14">
        <f t="shared" si="52"/>
        <v>-79.20231489156457</v>
      </c>
      <c r="M87" s="14">
        <f t="shared" si="52"/>
        <v>-74.59226261090723</v>
      </c>
      <c r="N87" s="14">
        <f t="shared" si="52"/>
        <v>-69.96202563721455</v>
      </c>
      <c r="O87" s="14">
        <f t="shared" si="52"/>
        <v>-65.31161647581038</v>
      </c>
      <c r="P87" s="14">
        <f t="shared" si="52"/>
        <v>-60.64104785005055</v>
      </c>
      <c r="Q87" s="14">
        <f t="shared" si="52"/>
        <v>-55.950332707616205</v>
      </c>
      <c r="R87" s="14">
        <f t="shared" si="52"/>
        <v>-51.23948422704859</v>
      </c>
      <c r="S87" s="14">
        <f t="shared" si="52"/>
        <v>-46.50851582453987</v>
      </c>
      <c r="T87" s="14">
        <f t="shared" si="52"/>
        <v>-41.75744116099337</v>
      </c>
      <c r="U87" s="66">
        <f t="shared" si="52"/>
        <v>-132.21784657337915</v>
      </c>
    </row>
    <row r="88" spans="1:21" ht="12.75">
      <c r="A88" s="10" t="str">
        <f>Lang!A53</f>
        <v>Diff de longueur tige de biellette</v>
      </c>
      <c r="B88" s="47">
        <f>B64-$B$9</f>
        <v>0</v>
      </c>
      <c r="C88" s="47">
        <f aca="true" t="shared" si="53" ref="C88:U88">C64-$B$9</f>
        <v>-7.5</v>
      </c>
      <c r="D88" s="47">
        <f t="shared" si="53"/>
        <v>-6.617647058823536</v>
      </c>
      <c r="E88" s="47">
        <f t="shared" si="53"/>
        <v>-5.735294117647072</v>
      </c>
      <c r="F88" s="47">
        <f t="shared" si="53"/>
        <v>-4.852941176470608</v>
      </c>
      <c r="G88" s="47">
        <f t="shared" si="53"/>
        <v>-3.9705882352941444</v>
      </c>
      <c r="H88" s="47">
        <f t="shared" si="53"/>
        <v>-3.0882352941176805</v>
      </c>
      <c r="I88" s="47">
        <f t="shared" si="53"/>
        <v>-2.2058823529412166</v>
      </c>
      <c r="J88" s="47">
        <f t="shared" si="53"/>
        <v>-1.3235294117647527</v>
      </c>
      <c r="K88" s="47">
        <f t="shared" si="53"/>
        <v>-0.4411764705882888</v>
      </c>
      <c r="L88" s="47">
        <f t="shared" si="53"/>
        <v>0.4411764705881751</v>
      </c>
      <c r="M88" s="47">
        <f t="shared" si="53"/>
        <v>1.323529411764639</v>
      </c>
      <c r="N88" s="47">
        <f t="shared" si="53"/>
        <v>2.205882352941103</v>
      </c>
      <c r="O88" s="47">
        <f t="shared" si="53"/>
        <v>3.088235294117567</v>
      </c>
      <c r="P88" s="47">
        <f t="shared" si="53"/>
        <v>3.9705882352940307</v>
      </c>
      <c r="Q88" s="47">
        <f t="shared" si="53"/>
        <v>4.852941176470495</v>
      </c>
      <c r="R88" s="47">
        <f t="shared" si="53"/>
        <v>5.7352941176469585</v>
      </c>
      <c r="S88" s="47">
        <f t="shared" si="53"/>
        <v>6.617647058823422</v>
      </c>
      <c r="T88" s="47">
        <f t="shared" si="53"/>
        <v>7.499999999999886</v>
      </c>
      <c r="U88" s="67">
        <f t="shared" si="53"/>
        <v>-10</v>
      </c>
    </row>
    <row r="89" spans="1:21" ht="12.75">
      <c r="A89" s="22" t="str">
        <f>Lang!A49</f>
        <v>Diff de hauteur de selle</v>
      </c>
      <c r="B89" s="16">
        <f aca="true" t="shared" si="54" ref="B89:U89">B84-B87</f>
        <v>0</v>
      </c>
      <c r="C89" s="16">
        <f t="shared" si="54"/>
        <v>38.28274342481741</v>
      </c>
      <c r="D89" s="16">
        <f t="shared" si="54"/>
        <v>33.8548829771013</v>
      </c>
      <c r="E89" s="16">
        <f t="shared" si="54"/>
        <v>29.406734169335053</v>
      </c>
      <c r="F89" s="16">
        <f t="shared" si="54"/>
        <v>24.93830779244047</v>
      </c>
      <c r="G89" s="16">
        <f t="shared" si="54"/>
        <v>20.449614808082657</v>
      </c>
      <c r="H89" s="16">
        <f t="shared" si="54"/>
        <v>15.940666353200228</v>
      </c>
      <c r="I89" s="16">
        <f t="shared" si="54"/>
        <v>11.411473744696892</v>
      </c>
      <c r="J89" s="16">
        <f t="shared" si="54"/>
        <v>6.86204848430485</v>
      </c>
      <c r="K89" s="16">
        <f t="shared" si="54"/>
        <v>2.2924022636243393</v>
      </c>
      <c r="L89" s="16">
        <f t="shared" si="54"/>
        <v>-2.2974530306497485</v>
      </c>
      <c r="M89" s="16">
        <f t="shared" si="54"/>
        <v>-6.907505311307091</v>
      </c>
      <c r="N89" s="16">
        <f t="shared" si="54"/>
        <v>-11.537742284999766</v>
      </c>
      <c r="O89" s="16">
        <f t="shared" si="54"/>
        <v>-16.188151446403936</v>
      </c>
      <c r="P89" s="16">
        <f t="shared" si="54"/>
        <v>-20.85872007216377</v>
      </c>
      <c r="Q89" s="16">
        <f t="shared" si="54"/>
        <v>-25.549435214598113</v>
      </c>
      <c r="R89" s="16">
        <f t="shared" si="54"/>
        <v>-30.260283695165725</v>
      </c>
      <c r="S89" s="16">
        <f t="shared" si="54"/>
        <v>-34.99125209767445</v>
      </c>
      <c r="T89" s="65">
        <f t="shared" si="54"/>
        <v>-39.742326761220944</v>
      </c>
      <c r="U89" s="23">
        <f t="shared" si="54"/>
        <v>50.71807865116483</v>
      </c>
    </row>
    <row r="90" spans="1:20" ht="13.5" thickBot="1">
      <c r="A90" s="24"/>
      <c r="B90" s="139" t="str">
        <f>Lang!A52</f>
        <v>NB : Coulisser les tubes de fourche de la même valeur + 10% (chasse 25°)</v>
      </c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1"/>
    </row>
    <row r="91" spans="1:20" ht="13.5" thickTop="1">
      <c r="A91" s="5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</row>
    <row r="92" spans="1:20" ht="13.5" thickBot="1">
      <c r="A92" s="5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</row>
    <row r="93" spans="1:20" ht="13.5" thickTop="1">
      <c r="A93" s="17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9"/>
    </row>
    <row r="94" spans="1:20" ht="12.75">
      <c r="A94" s="129" t="str">
        <f>Lang!A54</f>
        <v>Montage d'un amortisseur de longueur différente : Calcul de longueur de tige de biellette pour conserver l'assiette d'origine sans charge</v>
      </c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1"/>
    </row>
    <row r="95" spans="1:21" ht="12.7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11"/>
      <c r="U95" s="78">
        <f>Lang!A39</f>
      </c>
    </row>
    <row r="96" spans="1:21" ht="12.75">
      <c r="A96" s="20" t="str">
        <f>Lang!A45</f>
        <v>Saisir Grandeur d'intervalle : </v>
      </c>
      <c r="B96" s="77">
        <v>15</v>
      </c>
      <c r="C96" s="5"/>
      <c r="D96" s="68" t="str">
        <f>Lang!A55&amp;" "&amp;FIXED(B3-B96/2,1)&amp;" "&amp;Lang!A47&amp;" "&amp;FIXED(B3+B96/2,1)</f>
        <v>Calculs pour amortisseur de 304,5 à 319,5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11"/>
      <c r="U96" s="78" t="str">
        <f>Lang!A40</f>
        <v>au</v>
      </c>
    </row>
    <row r="97" spans="1:21" ht="12.7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11"/>
      <c r="U97" s="78" t="str">
        <f>Lang!A41</f>
        <v>choix</v>
      </c>
    </row>
    <row r="98" spans="1:23" ht="12.75">
      <c r="A98" s="22" t="str">
        <f>Lang!A56</f>
        <v>AB' (nouvelle longueur amortisseur)</v>
      </c>
      <c r="B98" s="16">
        <f>B3</f>
        <v>312</v>
      </c>
      <c r="C98" s="70">
        <f>$B$98-$B$96/2</f>
        <v>304.5</v>
      </c>
      <c r="D98" s="70">
        <f>C98+$B$96/17</f>
        <v>305.38235294117646</v>
      </c>
      <c r="E98" s="70">
        <f aca="true" t="shared" si="55" ref="E98:T98">D98+$B$96/17</f>
        <v>306.2647058823529</v>
      </c>
      <c r="F98" s="70">
        <f t="shared" si="55"/>
        <v>307.1470588235294</v>
      </c>
      <c r="G98" s="70">
        <f t="shared" si="55"/>
        <v>308.02941176470586</v>
      </c>
      <c r="H98" s="70">
        <f t="shared" si="55"/>
        <v>308.9117647058823</v>
      </c>
      <c r="I98" s="70">
        <f t="shared" si="55"/>
        <v>309.7941176470588</v>
      </c>
      <c r="J98" s="70">
        <f t="shared" si="55"/>
        <v>310.67647058823525</v>
      </c>
      <c r="K98" s="70">
        <f t="shared" si="55"/>
        <v>311.5588235294117</v>
      </c>
      <c r="L98" s="70">
        <f t="shared" si="55"/>
        <v>312.4411764705882</v>
      </c>
      <c r="M98" s="70">
        <f t="shared" si="55"/>
        <v>313.32352941176464</v>
      </c>
      <c r="N98" s="70">
        <f t="shared" si="55"/>
        <v>314.2058823529411</v>
      </c>
      <c r="O98" s="70">
        <f t="shared" si="55"/>
        <v>315.08823529411757</v>
      </c>
      <c r="P98" s="70">
        <f t="shared" si="55"/>
        <v>315.97058823529403</v>
      </c>
      <c r="Q98" s="70">
        <f t="shared" si="55"/>
        <v>316.8529411764705</v>
      </c>
      <c r="R98" s="70">
        <f t="shared" si="55"/>
        <v>317.73529411764696</v>
      </c>
      <c r="S98" s="70">
        <f t="shared" si="55"/>
        <v>318.6176470588234</v>
      </c>
      <c r="T98" s="64">
        <f t="shared" si="55"/>
        <v>319.4999999999999</v>
      </c>
      <c r="U98" s="80">
        <v>305.5</v>
      </c>
      <c r="V98" s="42"/>
      <c r="W98" s="42"/>
    </row>
    <row r="99" spans="1:23" ht="12.75">
      <c r="A99" s="71" t="str">
        <f>Lang!A57</f>
        <v>Diff de longueur d'amortisseur</v>
      </c>
      <c r="B99" s="74">
        <f>$B$3-B98</f>
        <v>0</v>
      </c>
      <c r="C99" s="74">
        <f aca="true" t="shared" si="56" ref="C99:U99">$B$3-C98</f>
        <v>7.5</v>
      </c>
      <c r="D99" s="74">
        <f t="shared" si="56"/>
        <v>6.617647058823536</v>
      </c>
      <c r="E99" s="74">
        <f t="shared" si="56"/>
        <v>5.735294117647072</v>
      </c>
      <c r="F99" s="74">
        <f t="shared" si="56"/>
        <v>4.852941176470608</v>
      </c>
      <c r="G99" s="74">
        <f t="shared" si="56"/>
        <v>3.9705882352941444</v>
      </c>
      <c r="H99" s="74">
        <f t="shared" si="56"/>
        <v>3.0882352941176805</v>
      </c>
      <c r="I99" s="74">
        <f t="shared" si="56"/>
        <v>2.2058823529412166</v>
      </c>
      <c r="J99" s="74">
        <f t="shared" si="56"/>
        <v>1.3235294117647527</v>
      </c>
      <c r="K99" s="74">
        <f t="shared" si="56"/>
        <v>0.4411764705882888</v>
      </c>
      <c r="L99" s="74">
        <f t="shared" si="56"/>
        <v>-0.4411764705881751</v>
      </c>
      <c r="M99" s="74">
        <f t="shared" si="56"/>
        <v>-1.323529411764639</v>
      </c>
      <c r="N99" s="74">
        <f t="shared" si="56"/>
        <v>-2.205882352941103</v>
      </c>
      <c r="O99" s="74">
        <f t="shared" si="56"/>
        <v>-3.088235294117567</v>
      </c>
      <c r="P99" s="74">
        <f t="shared" si="56"/>
        <v>-3.9705882352940307</v>
      </c>
      <c r="Q99" s="74">
        <f t="shared" si="56"/>
        <v>-4.852941176470495</v>
      </c>
      <c r="R99" s="74">
        <f t="shared" si="56"/>
        <v>-5.7352941176469585</v>
      </c>
      <c r="S99" s="74">
        <f t="shared" si="56"/>
        <v>-6.617647058823422</v>
      </c>
      <c r="T99" s="75">
        <f t="shared" si="56"/>
        <v>-7.499999999999886</v>
      </c>
      <c r="U99" s="76">
        <f t="shared" si="56"/>
        <v>6.5</v>
      </c>
      <c r="V99" s="42"/>
      <c r="W99" s="42"/>
    </row>
    <row r="100" spans="1:23" ht="12.75">
      <c r="A100" s="71" t="str">
        <f>Lang!A58</f>
        <v>Angle ADB (amortisseur standard)</v>
      </c>
      <c r="B100" s="69">
        <f>ACOS(($B$4^2+$B$7^2-$B$3^2)/2/$B$4/$B$7)</f>
        <v>2.016704924631056</v>
      </c>
      <c r="C100" s="69">
        <f aca="true" t="shared" si="57" ref="C100:U100">ACOS(($B$4^2+$B$7^2-$B$3^2)/2/$B$4/$B$7)</f>
        <v>2.016704924631056</v>
      </c>
      <c r="D100" s="69">
        <f t="shared" si="57"/>
        <v>2.016704924631056</v>
      </c>
      <c r="E100" s="69">
        <f t="shared" si="57"/>
        <v>2.016704924631056</v>
      </c>
      <c r="F100" s="69">
        <f t="shared" si="57"/>
        <v>2.016704924631056</v>
      </c>
      <c r="G100" s="69">
        <f t="shared" si="57"/>
        <v>2.016704924631056</v>
      </c>
      <c r="H100" s="69">
        <f t="shared" si="57"/>
        <v>2.016704924631056</v>
      </c>
      <c r="I100" s="69">
        <f t="shared" si="57"/>
        <v>2.016704924631056</v>
      </c>
      <c r="J100" s="69">
        <f t="shared" si="57"/>
        <v>2.016704924631056</v>
      </c>
      <c r="K100" s="69">
        <f t="shared" si="57"/>
        <v>2.016704924631056</v>
      </c>
      <c r="L100" s="69">
        <f t="shared" si="57"/>
        <v>2.016704924631056</v>
      </c>
      <c r="M100" s="69">
        <f t="shared" si="57"/>
        <v>2.016704924631056</v>
      </c>
      <c r="N100" s="69">
        <f t="shared" si="57"/>
        <v>2.016704924631056</v>
      </c>
      <c r="O100" s="69">
        <f t="shared" si="57"/>
        <v>2.016704924631056</v>
      </c>
      <c r="P100" s="69">
        <f t="shared" si="57"/>
        <v>2.016704924631056</v>
      </c>
      <c r="Q100" s="69">
        <f t="shared" si="57"/>
        <v>2.016704924631056</v>
      </c>
      <c r="R100" s="69">
        <f t="shared" si="57"/>
        <v>2.016704924631056</v>
      </c>
      <c r="S100" s="69">
        <f t="shared" si="57"/>
        <v>2.016704924631056</v>
      </c>
      <c r="T100" s="72">
        <f t="shared" si="57"/>
        <v>2.016704924631056</v>
      </c>
      <c r="U100" s="73">
        <f t="shared" si="57"/>
        <v>2.016704924631056</v>
      </c>
      <c r="V100" s="42"/>
      <c r="W100" s="42"/>
    </row>
    <row r="101" spans="1:23" ht="12.75">
      <c r="A101" s="71" t="str">
        <f>Lang!A59</f>
        <v>Angle ADB' (nouvel amortisseur)</v>
      </c>
      <c r="B101" s="69">
        <f aca="true" t="shared" si="58" ref="B101:K101">ACOS(($B$4^2+$B$7^2-B98^2)/2/$B$4/$B$7)</f>
        <v>2.016704924631056</v>
      </c>
      <c r="C101" s="69">
        <f t="shared" si="58"/>
        <v>1.9354261111150661</v>
      </c>
      <c r="D101" s="69">
        <f t="shared" si="58"/>
        <v>1.9447453233447813</v>
      </c>
      <c r="E101" s="69">
        <f t="shared" si="58"/>
        <v>1.954125857416909</v>
      </c>
      <c r="F101" s="69">
        <f t="shared" si="58"/>
        <v>1.9635692340322448</v>
      </c>
      <c r="G101" s="69">
        <f t="shared" si="58"/>
        <v>1.973077032457568</v>
      </c>
      <c r="H101" s="69">
        <f t="shared" si="58"/>
        <v>1.9826508937879836</v>
      </c>
      <c r="I101" s="69">
        <f t="shared" si="58"/>
        <v>1.9922925244450824</v>
      </c>
      <c r="J101" s="69">
        <f t="shared" si="58"/>
        <v>2.002003699932104</v>
      </c>
      <c r="K101" s="69">
        <f t="shared" si="58"/>
        <v>2.0117862688695975</v>
      </c>
      <c r="L101" s="69">
        <f aca="true" t="shared" si="59" ref="L101:U101">ACOS(($B$4^2+$B$7^2-L98^2)/2/$B$4/$B$7)</f>
        <v>2.0216421573376375</v>
      </c>
      <c r="M101" s="69">
        <f t="shared" si="59"/>
        <v>2.031573373553562</v>
      </c>
      <c r="N101" s="69">
        <f t="shared" si="59"/>
        <v>2.0415820129175004</v>
      </c>
      <c r="O101" s="69">
        <f t="shared" si="59"/>
        <v>2.0516702634616713</v>
      </c>
      <c r="P101" s="69">
        <f t="shared" si="59"/>
        <v>2.0618404117436873</v>
      </c>
      <c r="Q101" s="69">
        <f t="shared" si="59"/>
        <v>2.0720948492289017</v>
      </c>
      <c r="R101" s="69">
        <f t="shared" si="59"/>
        <v>2.0824360792123526</v>
      </c>
      <c r="S101" s="69">
        <f t="shared" si="59"/>
        <v>2.092866724337134</v>
      </c>
      <c r="T101" s="72">
        <f t="shared" si="59"/>
        <v>2.1033895347732465</v>
      </c>
      <c r="U101" s="73">
        <f t="shared" si="59"/>
        <v>1.9459924855670385</v>
      </c>
      <c r="V101" s="42"/>
      <c r="W101" s="42"/>
    </row>
    <row r="102" spans="1:23" ht="12.75">
      <c r="A102" s="71" t="str">
        <f>Lang!A60</f>
        <v>Angle BDB' (rotation biellette)</v>
      </c>
      <c r="B102" s="69">
        <f aca="true" t="shared" si="60" ref="B102:K102">B100-B101</f>
        <v>0</v>
      </c>
      <c r="C102" s="69">
        <f t="shared" si="60"/>
        <v>0.08127881351598987</v>
      </c>
      <c r="D102" s="69">
        <f t="shared" si="60"/>
        <v>0.07195960128627465</v>
      </c>
      <c r="E102" s="69">
        <f t="shared" si="60"/>
        <v>0.06257906721414708</v>
      </c>
      <c r="F102" s="69">
        <f t="shared" si="60"/>
        <v>0.05313569059881118</v>
      </c>
      <c r="G102" s="69">
        <f t="shared" si="60"/>
        <v>0.04362789217348806</v>
      </c>
      <c r="H102" s="69">
        <f t="shared" si="60"/>
        <v>0.03405403084307235</v>
      </c>
      <c r="I102" s="69">
        <f t="shared" si="60"/>
        <v>0.02441240018597357</v>
      </c>
      <c r="J102" s="69">
        <f t="shared" si="60"/>
        <v>0.014701224698951965</v>
      </c>
      <c r="K102" s="69">
        <f t="shared" si="60"/>
        <v>0.004918655761458446</v>
      </c>
      <c r="L102" s="69">
        <f aca="true" t="shared" si="61" ref="L102:U102">L100-L101</f>
        <v>-0.004937232706581529</v>
      </c>
      <c r="M102" s="69">
        <f t="shared" si="61"/>
        <v>-0.014868448922506161</v>
      </c>
      <c r="N102" s="69">
        <f t="shared" si="61"/>
        <v>-0.024877088286444415</v>
      </c>
      <c r="O102" s="69">
        <f t="shared" si="61"/>
        <v>-0.034965338830615256</v>
      </c>
      <c r="P102" s="69">
        <f t="shared" si="61"/>
        <v>-0.04513548711263127</v>
      </c>
      <c r="Q102" s="69">
        <f t="shared" si="61"/>
        <v>-0.05538992459784575</v>
      </c>
      <c r="R102" s="69">
        <f t="shared" si="61"/>
        <v>-0.06573115458129664</v>
      </c>
      <c r="S102" s="69">
        <f t="shared" si="61"/>
        <v>-0.07616179970607817</v>
      </c>
      <c r="T102" s="72">
        <f t="shared" si="61"/>
        <v>-0.08668461014219053</v>
      </c>
      <c r="U102" s="73">
        <f t="shared" si="61"/>
        <v>0.07071243906401747</v>
      </c>
      <c r="V102" s="42"/>
      <c r="W102" s="42"/>
    </row>
    <row r="103" spans="1:23" ht="12.75">
      <c r="A103" s="71" t="str">
        <f>A27</f>
        <v>Angle DPE d'origine</v>
      </c>
      <c r="B103" s="69">
        <f aca="true" t="shared" si="62" ref="B103:U103">ACOS(($B$10^2+$B$24^2-$B$8^2)/2/$B$10/$B$24)+ACOS(($B$24^2+$B$11^2-$B$9^2)/2/$B$24/$B$11)</f>
        <v>1.6173264997057553</v>
      </c>
      <c r="C103" s="69">
        <f t="shared" si="62"/>
        <v>1.6173264997057553</v>
      </c>
      <c r="D103" s="69">
        <f t="shared" si="62"/>
        <v>1.6173264997057553</v>
      </c>
      <c r="E103" s="69">
        <f t="shared" si="62"/>
        <v>1.6173264997057553</v>
      </c>
      <c r="F103" s="69">
        <f t="shared" si="62"/>
        <v>1.6173264997057553</v>
      </c>
      <c r="G103" s="69">
        <f t="shared" si="62"/>
        <v>1.6173264997057553</v>
      </c>
      <c r="H103" s="69">
        <f t="shared" si="62"/>
        <v>1.6173264997057553</v>
      </c>
      <c r="I103" s="69">
        <f t="shared" si="62"/>
        <v>1.6173264997057553</v>
      </c>
      <c r="J103" s="69">
        <f t="shared" si="62"/>
        <v>1.6173264997057553</v>
      </c>
      <c r="K103" s="69">
        <f t="shared" si="62"/>
        <v>1.6173264997057553</v>
      </c>
      <c r="L103" s="69">
        <f t="shared" si="62"/>
        <v>1.6173264997057553</v>
      </c>
      <c r="M103" s="69">
        <f t="shared" si="62"/>
        <v>1.6173264997057553</v>
      </c>
      <c r="N103" s="69">
        <f t="shared" si="62"/>
        <v>1.6173264997057553</v>
      </c>
      <c r="O103" s="69">
        <f t="shared" si="62"/>
        <v>1.6173264997057553</v>
      </c>
      <c r="P103" s="69">
        <f t="shared" si="62"/>
        <v>1.6173264997057553</v>
      </c>
      <c r="Q103" s="69">
        <f t="shared" si="62"/>
        <v>1.6173264997057553</v>
      </c>
      <c r="R103" s="69">
        <f t="shared" si="62"/>
        <v>1.6173264997057553</v>
      </c>
      <c r="S103" s="69">
        <f t="shared" si="62"/>
        <v>1.6173264997057553</v>
      </c>
      <c r="T103" s="72">
        <f t="shared" si="62"/>
        <v>1.6173264997057553</v>
      </c>
      <c r="U103" s="73">
        <f t="shared" si="62"/>
        <v>1.6173264997057553</v>
      </c>
      <c r="V103" s="42"/>
      <c r="W103" s="42"/>
    </row>
    <row r="104" spans="1:23" ht="12.75">
      <c r="A104" s="71" t="str">
        <f>Lang!A61</f>
        <v>Distance ED</v>
      </c>
      <c r="B104" s="69">
        <f aca="true" t="shared" si="63" ref="B104:K104">SQRT($B$10^2+$B$11^2-2*$B$10*$B$11*COS(B103))</f>
        <v>190.1490797432712</v>
      </c>
      <c r="C104" s="69">
        <f t="shared" si="63"/>
        <v>190.1490797432712</v>
      </c>
      <c r="D104" s="69">
        <f t="shared" si="63"/>
        <v>190.1490797432712</v>
      </c>
      <c r="E104" s="69">
        <f t="shared" si="63"/>
        <v>190.1490797432712</v>
      </c>
      <c r="F104" s="69">
        <f t="shared" si="63"/>
        <v>190.1490797432712</v>
      </c>
      <c r="G104" s="69">
        <f t="shared" si="63"/>
        <v>190.1490797432712</v>
      </c>
      <c r="H104" s="69">
        <f t="shared" si="63"/>
        <v>190.1490797432712</v>
      </c>
      <c r="I104" s="69">
        <f t="shared" si="63"/>
        <v>190.1490797432712</v>
      </c>
      <c r="J104" s="69">
        <f t="shared" si="63"/>
        <v>190.1490797432712</v>
      </c>
      <c r="K104" s="69">
        <f t="shared" si="63"/>
        <v>190.1490797432712</v>
      </c>
      <c r="L104" s="69">
        <f aca="true" t="shared" si="64" ref="L104:U104">SQRT($B$10^2+$B$11^2-2*$B$10*$B$11*COS(L103))</f>
        <v>190.1490797432712</v>
      </c>
      <c r="M104" s="69">
        <f t="shared" si="64"/>
        <v>190.1490797432712</v>
      </c>
      <c r="N104" s="69">
        <f t="shared" si="64"/>
        <v>190.1490797432712</v>
      </c>
      <c r="O104" s="69">
        <f t="shared" si="64"/>
        <v>190.1490797432712</v>
      </c>
      <c r="P104" s="69">
        <f t="shared" si="64"/>
        <v>190.1490797432712</v>
      </c>
      <c r="Q104" s="69">
        <f t="shared" si="64"/>
        <v>190.1490797432712</v>
      </c>
      <c r="R104" s="69">
        <f t="shared" si="64"/>
        <v>190.1490797432712</v>
      </c>
      <c r="S104" s="69">
        <f t="shared" si="64"/>
        <v>190.1490797432712</v>
      </c>
      <c r="T104" s="72">
        <f t="shared" si="64"/>
        <v>190.1490797432712</v>
      </c>
      <c r="U104" s="73">
        <f t="shared" si="64"/>
        <v>190.1490797432712</v>
      </c>
      <c r="V104" s="42"/>
      <c r="W104" s="42"/>
    </row>
    <row r="105" spans="1:23" ht="12.75">
      <c r="A105" s="71" t="str">
        <f>A27</f>
        <v>Angle DPE d'origine</v>
      </c>
      <c r="B105" s="69">
        <f aca="true" t="shared" si="65" ref="B105:U105">ASIN(SIN(B103)*$B$10/B104)</f>
        <v>0.5727997389722257</v>
      </c>
      <c r="C105" s="69">
        <f t="shared" si="65"/>
        <v>0.5727997389722257</v>
      </c>
      <c r="D105" s="69">
        <f t="shared" si="65"/>
        <v>0.5727997389722257</v>
      </c>
      <c r="E105" s="69">
        <f t="shared" si="65"/>
        <v>0.5727997389722257</v>
      </c>
      <c r="F105" s="69">
        <f t="shared" si="65"/>
        <v>0.5727997389722257</v>
      </c>
      <c r="G105" s="69">
        <f t="shared" si="65"/>
        <v>0.5727997389722257</v>
      </c>
      <c r="H105" s="69">
        <f t="shared" si="65"/>
        <v>0.5727997389722257</v>
      </c>
      <c r="I105" s="69">
        <f t="shared" si="65"/>
        <v>0.5727997389722257</v>
      </c>
      <c r="J105" s="69">
        <f t="shared" si="65"/>
        <v>0.5727997389722257</v>
      </c>
      <c r="K105" s="69">
        <f t="shared" si="65"/>
        <v>0.5727997389722257</v>
      </c>
      <c r="L105" s="69">
        <f t="shared" si="65"/>
        <v>0.5727997389722257</v>
      </c>
      <c r="M105" s="69">
        <f t="shared" si="65"/>
        <v>0.5727997389722257</v>
      </c>
      <c r="N105" s="69">
        <f t="shared" si="65"/>
        <v>0.5727997389722257</v>
      </c>
      <c r="O105" s="69">
        <f t="shared" si="65"/>
        <v>0.5727997389722257</v>
      </c>
      <c r="P105" s="69">
        <f t="shared" si="65"/>
        <v>0.5727997389722257</v>
      </c>
      <c r="Q105" s="69">
        <f t="shared" si="65"/>
        <v>0.5727997389722257</v>
      </c>
      <c r="R105" s="69">
        <f t="shared" si="65"/>
        <v>0.5727997389722257</v>
      </c>
      <c r="S105" s="69">
        <f t="shared" si="65"/>
        <v>0.5727997389722257</v>
      </c>
      <c r="T105" s="72">
        <f t="shared" si="65"/>
        <v>0.5727997389722257</v>
      </c>
      <c r="U105" s="73">
        <f t="shared" si="65"/>
        <v>0.5727997389722257</v>
      </c>
      <c r="V105" s="42"/>
      <c r="W105" s="42"/>
    </row>
    <row r="106" spans="1:23" ht="12.75">
      <c r="A106" s="71" t="str">
        <f>Lang!A62</f>
        <v>Angle PDE</v>
      </c>
      <c r="B106" s="69">
        <f aca="true" t="shared" si="66" ref="B106:K106">PI()-B103-B105</f>
        <v>0.9514664149118122</v>
      </c>
      <c r="C106" s="69">
        <f t="shared" si="66"/>
        <v>0.9514664149118122</v>
      </c>
      <c r="D106" s="69">
        <f t="shared" si="66"/>
        <v>0.9514664149118122</v>
      </c>
      <c r="E106" s="69">
        <f t="shared" si="66"/>
        <v>0.9514664149118122</v>
      </c>
      <c r="F106" s="69">
        <f t="shared" si="66"/>
        <v>0.9514664149118122</v>
      </c>
      <c r="G106" s="69">
        <f t="shared" si="66"/>
        <v>0.9514664149118122</v>
      </c>
      <c r="H106" s="69">
        <f t="shared" si="66"/>
        <v>0.9514664149118122</v>
      </c>
      <c r="I106" s="69">
        <f t="shared" si="66"/>
        <v>0.9514664149118122</v>
      </c>
      <c r="J106" s="69">
        <f t="shared" si="66"/>
        <v>0.9514664149118122</v>
      </c>
      <c r="K106" s="69">
        <f t="shared" si="66"/>
        <v>0.9514664149118122</v>
      </c>
      <c r="L106" s="69">
        <f aca="true" t="shared" si="67" ref="L106:U106">PI()-L103-L105</f>
        <v>0.9514664149118122</v>
      </c>
      <c r="M106" s="69">
        <f t="shared" si="67"/>
        <v>0.9514664149118122</v>
      </c>
      <c r="N106" s="69">
        <f t="shared" si="67"/>
        <v>0.9514664149118122</v>
      </c>
      <c r="O106" s="69">
        <f t="shared" si="67"/>
        <v>0.9514664149118122</v>
      </c>
      <c r="P106" s="69">
        <f t="shared" si="67"/>
        <v>0.9514664149118122</v>
      </c>
      <c r="Q106" s="69">
        <f t="shared" si="67"/>
        <v>0.9514664149118122</v>
      </c>
      <c r="R106" s="69">
        <f t="shared" si="67"/>
        <v>0.9514664149118122</v>
      </c>
      <c r="S106" s="69">
        <f t="shared" si="67"/>
        <v>0.9514664149118122</v>
      </c>
      <c r="T106" s="72">
        <f t="shared" si="67"/>
        <v>0.9514664149118122</v>
      </c>
      <c r="U106" s="73">
        <f t="shared" si="67"/>
        <v>0.9514664149118122</v>
      </c>
      <c r="V106" s="42"/>
      <c r="W106" s="42"/>
    </row>
    <row r="107" spans="1:23" ht="12.75">
      <c r="A107" s="71" t="str">
        <f>Lang!A63</f>
        <v>Angle CDE</v>
      </c>
      <c r="B107" s="69">
        <f aca="true" t="shared" si="68" ref="B107:K107">ACOS(($B$8^2+B104^2-$B$9^2)/2/$B$8/B104)</f>
        <v>1.4296079697719846</v>
      </c>
      <c r="C107" s="69">
        <f t="shared" si="68"/>
        <v>1.4296079697719846</v>
      </c>
      <c r="D107" s="69">
        <f t="shared" si="68"/>
        <v>1.4296079697719846</v>
      </c>
      <c r="E107" s="69">
        <f t="shared" si="68"/>
        <v>1.4296079697719846</v>
      </c>
      <c r="F107" s="69">
        <f t="shared" si="68"/>
        <v>1.4296079697719846</v>
      </c>
      <c r="G107" s="69">
        <f t="shared" si="68"/>
        <v>1.4296079697719846</v>
      </c>
      <c r="H107" s="69">
        <f t="shared" si="68"/>
        <v>1.4296079697719846</v>
      </c>
      <c r="I107" s="69">
        <f t="shared" si="68"/>
        <v>1.4296079697719846</v>
      </c>
      <c r="J107" s="69">
        <f t="shared" si="68"/>
        <v>1.4296079697719846</v>
      </c>
      <c r="K107" s="69">
        <f t="shared" si="68"/>
        <v>1.4296079697719846</v>
      </c>
      <c r="L107" s="69">
        <f aca="true" t="shared" si="69" ref="L107:U107">ACOS(($B$8^2+L104^2-$B$9^2)/2/$B$8/L104)</f>
        <v>1.4296079697719846</v>
      </c>
      <c r="M107" s="69">
        <f t="shared" si="69"/>
        <v>1.4296079697719846</v>
      </c>
      <c r="N107" s="69">
        <f t="shared" si="69"/>
        <v>1.4296079697719846</v>
      </c>
      <c r="O107" s="69">
        <f t="shared" si="69"/>
        <v>1.4296079697719846</v>
      </c>
      <c r="P107" s="69">
        <f t="shared" si="69"/>
        <v>1.4296079697719846</v>
      </c>
      <c r="Q107" s="69">
        <f t="shared" si="69"/>
        <v>1.4296079697719846</v>
      </c>
      <c r="R107" s="69">
        <f t="shared" si="69"/>
        <v>1.4296079697719846</v>
      </c>
      <c r="S107" s="69">
        <f t="shared" si="69"/>
        <v>1.4296079697719846</v>
      </c>
      <c r="T107" s="72">
        <f t="shared" si="69"/>
        <v>1.4296079697719846</v>
      </c>
      <c r="U107" s="73">
        <f t="shared" si="69"/>
        <v>1.4296079697719846</v>
      </c>
      <c r="V107" s="42"/>
      <c r="W107" s="42"/>
    </row>
    <row r="108" spans="1:23" ht="12.75">
      <c r="A108" s="71" t="str">
        <f>Lang!A64</f>
        <v>Angle C'DE</v>
      </c>
      <c r="B108" s="69">
        <f aca="true" t="shared" si="70" ref="B108:K108">B107-B102</f>
        <v>1.4296079697719846</v>
      </c>
      <c r="C108" s="69">
        <f t="shared" si="70"/>
        <v>1.3483291562559947</v>
      </c>
      <c r="D108" s="69">
        <f t="shared" si="70"/>
        <v>1.35764836848571</v>
      </c>
      <c r="E108" s="69">
        <f t="shared" si="70"/>
        <v>1.3670289025578375</v>
      </c>
      <c r="F108" s="69">
        <f t="shared" si="70"/>
        <v>1.3764722791731734</v>
      </c>
      <c r="G108" s="69">
        <f t="shared" si="70"/>
        <v>1.3859800775984965</v>
      </c>
      <c r="H108" s="69">
        <f t="shared" si="70"/>
        <v>1.3955539389289122</v>
      </c>
      <c r="I108" s="69">
        <f t="shared" si="70"/>
        <v>1.405195569586011</v>
      </c>
      <c r="J108" s="69">
        <f t="shared" si="70"/>
        <v>1.4149067450730326</v>
      </c>
      <c r="K108" s="69">
        <f t="shared" si="70"/>
        <v>1.4246893140105261</v>
      </c>
      <c r="L108" s="69">
        <f aca="true" t="shared" si="71" ref="L108:U108">L107-L102</f>
        <v>1.434545202478566</v>
      </c>
      <c r="M108" s="69">
        <f t="shared" si="71"/>
        <v>1.4444764186944907</v>
      </c>
      <c r="N108" s="69">
        <f t="shared" si="71"/>
        <v>1.454485058058429</v>
      </c>
      <c r="O108" s="69">
        <f t="shared" si="71"/>
        <v>1.4645733086025998</v>
      </c>
      <c r="P108" s="69">
        <f t="shared" si="71"/>
        <v>1.4747434568846158</v>
      </c>
      <c r="Q108" s="69">
        <f t="shared" si="71"/>
        <v>1.4849978943698303</v>
      </c>
      <c r="R108" s="69">
        <f t="shared" si="71"/>
        <v>1.4953391243532812</v>
      </c>
      <c r="S108" s="69">
        <f t="shared" si="71"/>
        <v>1.5057697694780627</v>
      </c>
      <c r="T108" s="72">
        <f t="shared" si="71"/>
        <v>1.516292579914175</v>
      </c>
      <c r="U108" s="73">
        <f t="shared" si="71"/>
        <v>1.358895530707967</v>
      </c>
      <c r="V108" s="42"/>
      <c r="W108" s="42"/>
    </row>
    <row r="109" spans="1:23" ht="12.75">
      <c r="A109" s="71" t="str">
        <f>A88</f>
        <v>Diff de longueur tige de biellette</v>
      </c>
      <c r="B109" s="74">
        <f>$B$9-B110</f>
        <v>0</v>
      </c>
      <c r="C109" s="74">
        <f aca="true" t="shared" si="72" ref="C109:U109">$B$9-C110</f>
        <v>3.5304961395292764</v>
      </c>
      <c r="D109" s="74">
        <f t="shared" si="72"/>
        <v>3.1251460336039543</v>
      </c>
      <c r="E109" s="74">
        <f t="shared" si="72"/>
        <v>2.717195691019583</v>
      </c>
      <c r="F109" s="74">
        <f t="shared" si="72"/>
        <v>2.3066160093865165</v>
      </c>
      <c r="G109" s="74">
        <f t="shared" si="72"/>
        <v>1.8933766052514613</v>
      </c>
      <c r="H109" s="74">
        <f t="shared" si="72"/>
        <v>1.4774457449868237</v>
      </c>
      <c r="I109" s="74">
        <f t="shared" si="72"/>
        <v>1.0587902707386831</v>
      </c>
      <c r="J109" s="74">
        <f t="shared" si="72"/>
        <v>0.637375520994425</v>
      </c>
      <c r="K109" s="74">
        <f t="shared" si="72"/>
        <v>0.2131652452800381</v>
      </c>
      <c r="L109" s="74">
        <f t="shared" si="72"/>
        <v>-0.21387848755381356</v>
      </c>
      <c r="M109" s="74">
        <f t="shared" si="72"/>
        <v>-0.6437953880582654</v>
      </c>
      <c r="N109" s="74">
        <f t="shared" si="72"/>
        <v>-1.076627052595967</v>
      </c>
      <c r="O109" s="74">
        <f t="shared" si="72"/>
        <v>-1.5124170781802206</v>
      </c>
      <c r="P109" s="74">
        <f t="shared" si="72"/>
        <v>-1.951211186578064</v>
      </c>
      <c r="Q109" s="74">
        <f t="shared" si="72"/>
        <v>-2.393057358611202</v>
      </c>
      <c r="R109" s="74">
        <f t="shared" si="72"/>
        <v>-2.838005979702274</v>
      </c>
      <c r="S109" s="74">
        <f t="shared" si="72"/>
        <v>-3.286109997843198</v>
      </c>
      <c r="T109" s="75">
        <f t="shared" si="72"/>
        <v>-3.7374250953118917</v>
      </c>
      <c r="U109" s="76">
        <f t="shared" si="72"/>
        <v>3.070903513048222</v>
      </c>
      <c r="V109" s="42"/>
      <c r="W109" s="42"/>
    </row>
    <row r="110" spans="1:23" ht="12.75">
      <c r="A110" s="22" t="str">
        <f>Lang!A65</f>
        <v>Longueur nouvelle tige de biellette C'E</v>
      </c>
      <c r="B110" s="63">
        <f aca="true" t="shared" si="73" ref="B110:K110">SQRT($B$8^2+B104^2-2*$B$8*B104*COS(B108))</f>
        <v>189</v>
      </c>
      <c r="C110" s="63">
        <f t="shared" si="73"/>
        <v>185.46950386047072</v>
      </c>
      <c r="D110" s="63">
        <f t="shared" si="73"/>
        <v>185.87485396639605</v>
      </c>
      <c r="E110" s="63">
        <f t="shared" si="73"/>
        <v>186.28280430898042</v>
      </c>
      <c r="F110" s="63">
        <f t="shared" si="73"/>
        <v>186.69338399061348</v>
      </c>
      <c r="G110" s="63">
        <f t="shared" si="73"/>
        <v>187.10662339474854</v>
      </c>
      <c r="H110" s="63">
        <f t="shared" si="73"/>
        <v>187.52255425501318</v>
      </c>
      <c r="I110" s="63">
        <f t="shared" si="73"/>
        <v>187.94120972926132</v>
      </c>
      <c r="J110" s="63">
        <f t="shared" si="73"/>
        <v>188.36262447900558</v>
      </c>
      <c r="K110" s="63">
        <f t="shared" si="73"/>
        <v>188.78683475471996</v>
      </c>
      <c r="L110" s="63">
        <f aca="true" t="shared" si="74" ref="L110:U110">SQRT($B$8^2+L104^2-2*$B$8*L104*COS(L108))</f>
        <v>189.2138784875538</v>
      </c>
      <c r="M110" s="63">
        <f t="shared" si="74"/>
        <v>189.64379538805827</v>
      </c>
      <c r="N110" s="63">
        <f t="shared" si="74"/>
        <v>190.07662705259597</v>
      </c>
      <c r="O110" s="63">
        <f t="shared" si="74"/>
        <v>190.51241707818022</v>
      </c>
      <c r="P110" s="63">
        <f t="shared" si="74"/>
        <v>190.95121118657806</v>
      </c>
      <c r="Q110" s="63">
        <f t="shared" si="74"/>
        <v>191.3930573586112</v>
      </c>
      <c r="R110" s="63">
        <f t="shared" si="74"/>
        <v>191.83800597970227</v>
      </c>
      <c r="S110" s="63">
        <f t="shared" si="74"/>
        <v>192.2861099978432</v>
      </c>
      <c r="T110" s="65">
        <f t="shared" si="74"/>
        <v>192.7374250953119</v>
      </c>
      <c r="U110" s="23">
        <f t="shared" si="74"/>
        <v>185.92909648695178</v>
      </c>
      <c r="V110" s="42"/>
      <c r="W110" s="42"/>
    </row>
    <row r="111" spans="1:23" ht="13.5" thickBot="1">
      <c r="A111" s="24"/>
      <c r="B111" s="132" t="str">
        <f>Lang!A66&amp;FIXED(Mono!B3,1)&amp;Lang!A67&amp;FIXED(Mono!B3,1)&amp;") "&amp;Lang!A68</f>
        <v>NB : Vérifier que l'amortisseur ne bute pas vers l'avant (si &gt;312,0) ou vers l'arrière (si &lt;312,0) lors des débattements</v>
      </c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4"/>
      <c r="U111" s="42"/>
      <c r="V111" s="42"/>
      <c r="W111" s="42"/>
    </row>
    <row r="112" spans="2:23" ht="13.5" thickTop="1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2:23" ht="12.7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2:23" ht="12.7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22:23" ht="12.75">
      <c r="V115" s="42"/>
      <c r="W115" s="42"/>
    </row>
    <row r="116" spans="22:23" ht="12.75">
      <c r="V116" s="42"/>
      <c r="W116" s="42"/>
    </row>
    <row r="117" spans="22:23" ht="12.75">
      <c r="V117" s="42"/>
      <c r="W117" s="42"/>
    </row>
    <row r="118" spans="22:23" ht="12.75">
      <c r="V118" s="42"/>
      <c r="W118" s="42"/>
    </row>
    <row r="119" spans="22:23" ht="12.75">
      <c r="V119" s="42"/>
      <c r="W119" s="42"/>
    </row>
    <row r="120" spans="22:23" ht="12.75">
      <c r="V120" s="42"/>
      <c r="W120" s="42"/>
    </row>
    <row r="121" spans="22:23" ht="12.75">
      <c r="V121" s="42"/>
      <c r="W121" s="42"/>
    </row>
    <row r="125" spans="1:20" ht="12.75">
      <c r="A125" s="97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0" ht="12.75">
      <c r="A126" s="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9" ht="12.75">
      <c r="A129" s="2"/>
    </row>
    <row r="130" ht="12.75">
      <c r="A130" s="2"/>
    </row>
    <row r="132" spans="1:20" ht="12.75">
      <c r="A132" s="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ht="12.75">
      <c r="A133" s="2"/>
    </row>
  </sheetData>
  <mergeCells count="40">
    <mergeCell ref="W15:AG15"/>
    <mergeCell ref="B1:C1"/>
    <mergeCell ref="H26:N26"/>
    <mergeCell ref="H25:N25"/>
    <mergeCell ref="H24:N24"/>
    <mergeCell ref="B13:C13"/>
    <mergeCell ref="B8:C8"/>
    <mergeCell ref="B7:C7"/>
    <mergeCell ref="B14:C14"/>
    <mergeCell ref="D10:E10"/>
    <mergeCell ref="D11:E11"/>
    <mergeCell ref="D12:E12"/>
    <mergeCell ref="D13:E13"/>
    <mergeCell ref="B9:C9"/>
    <mergeCell ref="B12:C12"/>
    <mergeCell ref="B10:C10"/>
    <mergeCell ref="B11:C11"/>
    <mergeCell ref="D5:E5"/>
    <mergeCell ref="B4:C4"/>
    <mergeCell ref="B3:C3"/>
    <mergeCell ref="B6:C6"/>
    <mergeCell ref="B5:C5"/>
    <mergeCell ref="H23:N23"/>
    <mergeCell ref="B2:C2"/>
    <mergeCell ref="D14:E14"/>
    <mergeCell ref="D6:E6"/>
    <mergeCell ref="D7:E7"/>
    <mergeCell ref="D8:E8"/>
    <mergeCell ref="D9:E9"/>
    <mergeCell ref="D2:E2"/>
    <mergeCell ref="D3:E3"/>
    <mergeCell ref="D4:E4"/>
    <mergeCell ref="A94:T94"/>
    <mergeCell ref="B111:T111"/>
    <mergeCell ref="A32:T32"/>
    <mergeCell ref="H27:N27"/>
    <mergeCell ref="H28:N28"/>
    <mergeCell ref="B90:T90"/>
    <mergeCell ref="A60:T60"/>
    <mergeCell ref="R28:S28"/>
  </mergeCells>
  <conditionalFormatting sqref="F3:F14">
    <cfRule type="expression" priority="1" dxfId="0" stopIfTrue="1">
      <formula>ABS(F3)&gt;1</formula>
    </cfRule>
  </conditionalFormatting>
  <dataValidations count="3">
    <dataValidation type="list" allowBlank="1" showInputMessage="1" showErrorMessage="1" sqref="B1">
      <formula1>$O$4:$O$6</formula1>
    </dataValidation>
    <dataValidation type="list" allowBlank="1" showInputMessage="1" showErrorMessage="1" sqref="AH2:AI2">
      <formula1>$W$2:$AF$2</formula1>
    </dataValidation>
    <dataValidation type="list" allowBlank="1" showInputMessage="1" showErrorMessage="1" sqref="B2:E2">
      <formula1>$W$2:$AG$2</formula1>
    </dataValidation>
  </dataValidations>
  <hyperlinks>
    <hyperlink ref="A16:E16" location="Calculs!W4" display="Renseignez vos propres valeurs (BIKE1…) en suivant ce lien"/>
    <hyperlink ref="A16" location="bike1" display="bike1"/>
  </hyperlinks>
  <printOptions horizontalCentered="1" verticalCentered="1"/>
  <pageMargins left="0.2755905511811024" right="0.2755905511811024" top="0.3937007874015748" bottom="0.3937007874015748" header="0.5118110236220472" footer="0.5118110236220472"/>
  <pageSetup fitToHeight="1" fitToWidth="1" horizontalDpi="1200" verticalDpi="12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" sqref="A1"/>
    </sheetView>
  </sheetViews>
  <sheetFormatPr defaultColWidth="11.421875" defaultRowHeight="12.75"/>
  <cols>
    <col min="1" max="1" width="124.421875" style="0" bestFit="1" customWidth="1"/>
    <col min="2" max="2" width="9.140625" style="0" bestFit="1" customWidth="1"/>
  </cols>
  <sheetData>
    <row r="1" spans="1:2" ht="12.75">
      <c r="A1" s="113" t="s">
        <v>249</v>
      </c>
      <c r="B1" s="89" t="s">
        <v>278</v>
      </c>
    </row>
    <row r="3" spans="1:2" ht="12.75">
      <c r="A3" s="113" t="s">
        <v>251</v>
      </c>
      <c r="B3" s="89" t="s">
        <v>259</v>
      </c>
    </row>
    <row r="4" spans="1:2" ht="12.75">
      <c r="A4" t="s">
        <v>250</v>
      </c>
      <c r="B4" s="89" t="s">
        <v>260</v>
      </c>
    </row>
    <row r="6" spans="1:2" ht="12.75">
      <c r="A6" s="113" t="s">
        <v>282</v>
      </c>
      <c r="B6" s="89" t="s">
        <v>261</v>
      </c>
    </row>
    <row r="7" ht="12.75">
      <c r="A7" t="s">
        <v>281</v>
      </c>
    </row>
    <row r="8" ht="12.75">
      <c r="A8" t="s">
        <v>283</v>
      </c>
    </row>
    <row r="9" ht="12.75">
      <c r="A9" t="s">
        <v>284</v>
      </c>
    </row>
    <row r="11" ht="12.75">
      <c r="A11" s="113" t="s">
        <v>252</v>
      </c>
    </row>
    <row r="12" ht="12.75">
      <c r="A12" t="s">
        <v>253</v>
      </c>
    </row>
    <row r="13" ht="12.75">
      <c r="A13" t="s">
        <v>256</v>
      </c>
    </row>
    <row r="14" spans="1:2" ht="12.75">
      <c r="A14" t="s">
        <v>254</v>
      </c>
      <c r="B14" s="89" t="s">
        <v>262</v>
      </c>
    </row>
    <row r="16" ht="12.75">
      <c r="A16" s="113" t="s">
        <v>280</v>
      </c>
    </row>
    <row r="17" spans="1:2" ht="12.75">
      <c r="A17" s="112" t="s">
        <v>279</v>
      </c>
      <c r="B17" s="89" t="s">
        <v>263</v>
      </c>
    </row>
    <row r="18" ht="12.75">
      <c r="A18" t="s">
        <v>255</v>
      </c>
    </row>
    <row r="19" ht="12.75">
      <c r="A19" t="s">
        <v>257</v>
      </c>
    </row>
    <row r="20" spans="1:2" ht="12.75">
      <c r="A20" t="s">
        <v>258</v>
      </c>
      <c r="B20" s="89" t="s">
        <v>262</v>
      </c>
    </row>
    <row r="22" ht="12.75">
      <c r="A22" s="113" t="s">
        <v>264</v>
      </c>
    </row>
    <row r="23" spans="1:2" ht="12.75">
      <c r="A23" t="s">
        <v>265</v>
      </c>
      <c r="B23" s="89" t="s">
        <v>268</v>
      </c>
    </row>
    <row r="24" ht="12.75">
      <c r="A24" t="s">
        <v>266</v>
      </c>
    </row>
    <row r="25" ht="12.75">
      <c r="A25" t="s">
        <v>267</v>
      </c>
    </row>
    <row r="26" spans="1:2" ht="12.75">
      <c r="A26" t="s">
        <v>269</v>
      </c>
      <c r="B26" s="89" t="s">
        <v>270</v>
      </c>
    </row>
    <row r="28" ht="12.75">
      <c r="A28" s="113" t="s">
        <v>271</v>
      </c>
    </row>
    <row r="29" spans="1:2" ht="12.75">
      <c r="A29" t="s">
        <v>272</v>
      </c>
      <c r="B29" s="89" t="s">
        <v>277</v>
      </c>
    </row>
    <row r="30" ht="12.75">
      <c r="A30" t="s">
        <v>273</v>
      </c>
    </row>
    <row r="31" ht="12.75">
      <c r="A31" t="s">
        <v>274</v>
      </c>
    </row>
    <row r="32" spans="1:2" ht="12.75">
      <c r="A32" t="s">
        <v>275</v>
      </c>
      <c r="B32" s="89" t="s">
        <v>276</v>
      </c>
    </row>
  </sheetData>
  <hyperlinks>
    <hyperlink ref="B1" location="Calculs!B1" display="B1C1"/>
    <hyperlink ref="B3" location="Calculs!B2" display="B2C2"/>
    <hyperlink ref="B4" location="Calculs!W2:AG15" display="W2:AG15"/>
    <hyperlink ref="B6" location="Calculs!D2" display="D2E2"/>
    <hyperlink ref="B14" location="Calculs!U36" display="U36"/>
    <hyperlink ref="B17" location="Calculs!B50" display="B50"/>
    <hyperlink ref="B20" location="Calculs!U36" display="U36"/>
    <hyperlink ref="B23" location="Calculs!B62" display="B62"/>
    <hyperlink ref="B26" location="Calculs!U64" display="U64"/>
    <hyperlink ref="B29" location="Calculs!B96" display="B96"/>
    <hyperlink ref="B32" location="Calculs!U98" display="U98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7"/>
  <sheetViews>
    <sheetView zoomScale="75" zoomScaleNormal="75" workbookViewId="0" topLeftCell="A1">
      <selection activeCell="B4" sqref="B4"/>
    </sheetView>
  </sheetViews>
  <sheetFormatPr defaultColWidth="11.421875" defaultRowHeight="12.75"/>
  <cols>
    <col min="1" max="1" width="49.140625" style="56" bestFit="1" customWidth="1"/>
    <col min="2" max="2" width="49.140625" style="57" bestFit="1" customWidth="1"/>
    <col min="3" max="3" width="45.421875" style="56" bestFit="1" customWidth="1"/>
    <col min="4" max="4" width="41.140625" style="56" bestFit="1" customWidth="1"/>
    <col min="5" max="16384" width="11.421875" style="56" customWidth="1"/>
  </cols>
  <sheetData>
    <row r="1" spans="1:4" ht="12.75">
      <c r="A1" s="50" t="s">
        <v>155</v>
      </c>
      <c r="B1" s="50" t="s">
        <v>78</v>
      </c>
      <c r="C1" s="50" t="s">
        <v>79</v>
      </c>
      <c r="D1" s="50" t="s">
        <v>112</v>
      </c>
    </row>
    <row r="2" spans="1:4" ht="12.75">
      <c r="A2" s="56" t="str">
        <f>IF(Mono!$B$1=Mono!$O$4,Lang!B2,IF(Mono!$B$1=Mono!$O$5,Lang!C2,IF(Mono!$B$1=Mono!$O$6,Lang!D2,"")))</f>
        <v>CHOIX MOTO ===&gt;</v>
      </c>
      <c r="B2" s="57" t="s">
        <v>106</v>
      </c>
      <c r="C2" s="57" t="s">
        <v>75</v>
      </c>
      <c r="D2" s="56" t="s">
        <v>113</v>
      </c>
    </row>
    <row r="3" spans="1:4" ht="12.75">
      <c r="A3" s="56" t="str">
        <f>IF(Mono!$B$1=Mono!$O$4,Lang!B3,IF(Mono!$B$1=Mono!$O$5,Lang!C3,IF(Mono!$B$1=Mono!$O$6,Lang!D3,"")))</f>
        <v>(Gauche=calcul - Droite=comparaison)</v>
      </c>
      <c r="B3" s="56" t="s">
        <v>326</v>
      </c>
      <c r="C3" s="57" t="s">
        <v>227</v>
      </c>
      <c r="D3" s="56" t="s">
        <v>228</v>
      </c>
    </row>
    <row r="4" spans="1:4" ht="12.75">
      <c r="A4" s="56" t="str">
        <f>IF(Mono!$B$1=Mono!$O$4,Lang!B4,IF(Mono!$B$1=Mono!$O$5,Lang!C4,IF(Mono!$B$1=Mono!$O$6,Lang!D4,"")))</f>
        <v>Diff.</v>
      </c>
      <c r="B4" s="57" t="s">
        <v>76</v>
      </c>
      <c r="C4" s="56" t="s">
        <v>76</v>
      </c>
      <c r="D4" s="56" t="s">
        <v>114</v>
      </c>
    </row>
    <row r="5" spans="1:4" ht="12.75">
      <c r="A5" s="56" t="str">
        <f>IF(Mono!$B$1=Mono!$O$4,Lang!B5,IF(Mono!$B$1=Mono!$O$5,Lang!C5,IF(Mono!$B$1=Mono!$O$6,Lang!D5,"")))</f>
        <v>&gt;1</v>
      </c>
      <c r="B5" s="57" t="s">
        <v>77</v>
      </c>
      <c r="C5" s="56" t="s">
        <v>77</v>
      </c>
      <c r="D5" s="56" t="s">
        <v>77</v>
      </c>
    </row>
    <row r="6" spans="1:4" ht="12.75">
      <c r="A6" s="56" t="str">
        <f>IF(Mono!$B$1=Mono!$O$4,Lang!B6,IF(Mono!$B$1=Mono!$O$5,Lang!C6,IF(Mono!$B$1=Mono!$O$6,Lang!D6,"")))</f>
        <v>Inclinaison PO % horizontale (-+) D°</v>
      </c>
      <c r="B6" s="57" t="s">
        <v>22</v>
      </c>
      <c r="C6" s="57" t="s">
        <v>116</v>
      </c>
      <c r="D6" s="56" t="s">
        <v>115</v>
      </c>
    </row>
    <row r="7" spans="1:4" ht="12.75">
      <c r="A7" s="56" t="str">
        <f>IF(Mono!$B$1=Mono!$O$4,Lang!B7,IF(Mono!$B$1=Mono!$O$5,Lang!C7,IF(Mono!$B$1=Mono!$O$6,Lang!D7,"")))</f>
        <v>Débattement de roue max (mm)</v>
      </c>
      <c r="B7" s="57" t="s">
        <v>35</v>
      </c>
      <c r="C7" s="56" t="s">
        <v>82</v>
      </c>
      <c r="D7" s="56" t="s">
        <v>117</v>
      </c>
    </row>
    <row r="8" spans="1:4" ht="12.75">
      <c r="A8" s="56" t="str">
        <f>IF(Mono!$B$1=Mono!$O$4,Lang!B8,IF(Mono!$B$1=Mono!$O$5,Lang!C8,IF(Mono!$B$1=Mono!$O$6,Lang!D8,"")))</f>
        <v>Calculs à l'origine</v>
      </c>
      <c r="B8" s="57" t="s">
        <v>18</v>
      </c>
      <c r="C8" s="56" t="s">
        <v>83</v>
      </c>
      <c r="D8" s="56" t="s">
        <v>119</v>
      </c>
    </row>
    <row r="9" spans="1:4" ht="12.75">
      <c r="A9" s="56" t="str">
        <f>IF(Mono!$B$1=Mono!$O$4,Lang!B9,IF(Mono!$B$1=Mono!$O$5,Lang!C9,IF(Mono!$B$1=Mono!$O$6,Lang!D9,"")))</f>
        <v>Rad</v>
      </c>
      <c r="B9" s="57" t="s">
        <v>33</v>
      </c>
      <c r="C9" s="57" t="s">
        <v>33</v>
      </c>
      <c r="D9" s="56" t="s">
        <v>33</v>
      </c>
    </row>
    <row r="10" spans="1:4" ht="12.75">
      <c r="A10" s="56" t="str">
        <f>IF(Mono!$B$1=Mono!$O$4,Lang!B10,IF(Mono!$B$1=Mono!$O$5,Lang!C10,IF(Mono!$B$1=Mono!$O$6,Lang!D10,"")))</f>
        <v>Deg</v>
      </c>
      <c r="B10" s="57" t="s">
        <v>34</v>
      </c>
      <c r="C10" s="57" t="s">
        <v>34</v>
      </c>
      <c r="D10" s="56" t="s">
        <v>34</v>
      </c>
    </row>
    <row r="11" spans="1:4" ht="12.75">
      <c r="A11" s="56" t="str">
        <f>IF(Mono!$B$1=Mono!$O$4,Lang!B11,IF(Mono!$B$1=Mono!$O$5,Lang!C11,IF(Mono!$B$1=Mono!$O$6,Lang!D11,"")))</f>
        <v>Angle PDA fixe</v>
      </c>
      <c r="B11" s="57" t="s">
        <v>8</v>
      </c>
      <c r="C11" s="56" t="s">
        <v>85</v>
      </c>
      <c r="D11" s="56" t="s">
        <v>118</v>
      </c>
    </row>
    <row r="12" spans="1:4" ht="12.75">
      <c r="A12" s="56" t="str">
        <f>IF(Mono!$B$1=Mono!$O$4,Lang!B12,IF(Mono!$B$1=Mono!$O$5,Lang!C12,IF(Mono!$B$1=Mono!$O$6,Lang!D12,"")))</f>
        <v>Angle ADB d'origine</v>
      </c>
      <c r="B12" s="57" t="s">
        <v>5</v>
      </c>
      <c r="C12" s="56" t="s">
        <v>84</v>
      </c>
      <c r="D12" s="56" t="s">
        <v>122</v>
      </c>
    </row>
    <row r="13" spans="1:4" ht="12.75">
      <c r="A13" s="56" t="str">
        <f>IF(Mono!$B$1=Mono!$O$4,Lang!B13,IF(Mono!$B$1=Mono!$O$5,Lang!C13,IF(Mono!$B$1=Mono!$O$6,Lang!D13,"")))</f>
        <v>Angle BDC fixe</v>
      </c>
      <c r="B13" s="57" t="s">
        <v>9</v>
      </c>
      <c r="C13" s="56" t="s">
        <v>86</v>
      </c>
      <c r="D13" s="56" t="s">
        <v>120</v>
      </c>
    </row>
    <row r="14" spans="1:4" ht="12.75">
      <c r="A14" s="56" t="str">
        <f>IF(Mono!$B$1=Mono!$O$4,Lang!B14,IF(Mono!$B$1=Mono!$O$5,Lang!C14,IF(Mono!$B$1=Mono!$O$6,Lang!D14,"")))</f>
        <v>Angle PDC d'origine</v>
      </c>
      <c r="B14" s="57" t="s">
        <v>6</v>
      </c>
      <c r="C14" s="56" t="s">
        <v>87</v>
      </c>
      <c r="D14" s="56" t="s">
        <v>121</v>
      </c>
    </row>
    <row r="15" spans="1:4" ht="12.75">
      <c r="A15" s="56" t="str">
        <f>IF(Mono!$B$1=Mono!$O$4,Lang!B15,IF(Mono!$B$1=Mono!$O$5,Lang!C15,IF(Mono!$B$1=Mono!$O$6,Lang!D15,"")))</f>
        <v>Distance PC d'origine</v>
      </c>
      <c r="B15" s="57" t="s">
        <v>7</v>
      </c>
      <c r="C15" s="56" t="s">
        <v>88</v>
      </c>
      <c r="D15" s="56" t="s">
        <v>123</v>
      </c>
    </row>
    <row r="16" spans="1:4" ht="12.75">
      <c r="A16" s="56" t="str">
        <f>IF(Mono!$B$1=Mono!$O$4,Lang!B16,IF(Mono!$B$1=Mono!$O$5,Lang!C16,IF(Mono!$B$1=Mono!$O$6,Lang!D16,"")))</f>
        <v>Angle DPC d'origine</v>
      </c>
      <c r="B16" s="57" t="s">
        <v>3</v>
      </c>
      <c r="C16" s="56" t="s">
        <v>89</v>
      </c>
      <c r="D16" s="56" t="s">
        <v>124</v>
      </c>
    </row>
    <row r="17" spans="1:4" ht="12.75">
      <c r="A17" s="56" t="str">
        <f>IF(Mono!$B$1=Mono!$O$4,Lang!B17,IF(Mono!$B$1=Mono!$O$5,Lang!C17,IF(Mono!$B$1=Mono!$O$6,Lang!D17,"")))</f>
        <v>Angle CPE d'origine</v>
      </c>
      <c r="B17" s="57" t="s">
        <v>4</v>
      </c>
      <c r="C17" s="56" t="s">
        <v>90</v>
      </c>
      <c r="D17" s="56" t="s">
        <v>125</v>
      </c>
    </row>
    <row r="18" spans="1:4" ht="12.75">
      <c r="A18" s="56" t="str">
        <f>IF(Mono!$B$1=Mono!$O$4,Lang!B18,IF(Mono!$B$1=Mono!$O$5,Lang!C18,IF(Mono!$B$1=Mono!$O$6,Lang!D18,"")))</f>
        <v>Angle DPE d'origine</v>
      </c>
      <c r="B18" s="57" t="s">
        <v>2</v>
      </c>
      <c r="C18" s="56" t="s">
        <v>91</v>
      </c>
      <c r="D18" s="56" t="s">
        <v>126</v>
      </c>
    </row>
    <row r="19" spans="1:4" ht="12.75">
      <c r="A19" s="56" t="str">
        <f>IF(Mono!$B$1=Mono!$O$4,Lang!B19,IF(Mono!$B$1=Mono!$O$5,Lang!C19,IF(Mono!$B$1=Mono!$O$6,Lang!D19,"")))</f>
        <v>Distance de O à l'horizontale de P</v>
      </c>
      <c r="B19" s="57" t="s">
        <v>92</v>
      </c>
      <c r="C19" s="56" t="s">
        <v>93</v>
      </c>
      <c r="D19" s="56" t="s">
        <v>127</v>
      </c>
    </row>
    <row r="20" spans="1:4" ht="12.75">
      <c r="A20" s="56" t="str">
        <f>IF(Mono!$B$1=Mono!$O$4,Lang!B20,IF(Mono!$B$1=Mono!$O$5,Lang!C20,IF(Mono!$B$1=Mono!$O$6,Lang!D20,"")))</f>
        <v>Débattement roue (vertical)</v>
      </c>
      <c r="B20" s="57" t="s">
        <v>23</v>
      </c>
      <c r="C20" s="56" t="s">
        <v>94</v>
      </c>
      <c r="D20" s="56" t="s">
        <v>128</v>
      </c>
    </row>
    <row r="21" spans="1:4" ht="12.75">
      <c r="A21" s="56" t="str">
        <f>IF(Mono!$B$1=Mono!$O$4,Lang!B21,IF(Mono!$B$1=Mono!$O$5,Lang!C21,IF(Mono!$B$1=Mono!$O$6,Lang!D21,"")))</f>
        <v>angle de rotation du b.o. PO</v>
      </c>
      <c r="B21" s="57" t="s">
        <v>1</v>
      </c>
      <c r="C21" s="56" t="s">
        <v>95</v>
      </c>
      <c r="D21" s="56" t="s">
        <v>152</v>
      </c>
    </row>
    <row r="22" spans="1:4" ht="12.75">
      <c r="A22" s="56" t="str">
        <f>IF(Mono!$B$1=Mono!$O$4,Lang!B22,IF(Mono!$B$1=Mono!$O$5,Lang!C22,IF(Mono!$B$1=Mono!$O$6,Lang!D22,"")))</f>
        <v>angle de rotation de PE (idem PO)</v>
      </c>
      <c r="B22" s="57" t="s">
        <v>149</v>
      </c>
      <c r="C22" s="56" t="s">
        <v>150</v>
      </c>
      <c r="D22" s="56" t="s">
        <v>151</v>
      </c>
    </row>
    <row r="23" spans="1:4" ht="12.75">
      <c r="A23" s="56" t="str">
        <f>IF(Mono!$B$1=Mono!$O$4,Lang!B23,IF(Mono!$B$1=Mono!$O$5,Lang!C23,IF(Mono!$B$1=Mono!$O$6,Lang!D23,"")))</f>
        <v>Angle DPE'</v>
      </c>
      <c r="B23" s="57" t="s">
        <v>10</v>
      </c>
      <c r="C23" s="56" t="s">
        <v>96</v>
      </c>
      <c r="D23" s="56" t="s">
        <v>129</v>
      </c>
    </row>
    <row r="24" spans="1:4" ht="12.75">
      <c r="A24" s="56" t="str">
        <f>IF(Mono!$B$1=Mono!$O$4,Lang!B24,IF(Mono!$B$1=Mono!$O$5,Lang!C24,IF(Mono!$B$1=Mono!$O$6,Lang!D24,"")))</f>
        <v>Distance E'D nouvelle</v>
      </c>
      <c r="B24" s="57" t="s">
        <v>11</v>
      </c>
      <c r="C24" s="56" t="s">
        <v>97</v>
      </c>
      <c r="D24" s="56" t="s">
        <v>130</v>
      </c>
    </row>
    <row r="25" spans="1:4" ht="12.75">
      <c r="A25" s="56" t="str">
        <f>IF(Mono!$B$1=Mono!$O$4,Lang!B25,IF(Mono!$B$1=Mono!$O$5,Lang!C25,IF(Mono!$B$1=Mono!$O$6,Lang!D25,"")))</f>
        <v>Angle PE'D</v>
      </c>
      <c r="B25" s="57" t="s">
        <v>13</v>
      </c>
      <c r="C25" s="56" t="s">
        <v>98</v>
      </c>
      <c r="D25" s="56" t="s">
        <v>131</v>
      </c>
    </row>
    <row r="26" spans="1:4" ht="12.75">
      <c r="A26" s="56" t="str">
        <f>IF(Mono!$B$1=Mono!$O$4,Lang!B26,IF(Mono!$B$1=Mono!$O$5,Lang!C26,IF(Mono!$B$1=Mono!$O$6,Lang!D26,"")))</f>
        <v>Angle PDE'</v>
      </c>
      <c r="B26" s="57" t="s">
        <v>12</v>
      </c>
      <c r="C26" s="56" t="s">
        <v>99</v>
      </c>
      <c r="D26" s="56" t="s">
        <v>132</v>
      </c>
    </row>
    <row r="27" spans="1:4" ht="12.75">
      <c r="A27" s="56" t="str">
        <f>IF(Mono!$B$1=Mono!$O$4,Lang!B27,IF(Mono!$B$1=Mono!$O$5,Lang!C27,IF(Mono!$B$1=Mono!$O$6,Lang!D27,"")))</f>
        <v>Angle C'DE'</v>
      </c>
      <c r="B27" s="57" t="s">
        <v>14</v>
      </c>
      <c r="C27" s="56" t="s">
        <v>100</v>
      </c>
      <c r="D27" s="56" t="s">
        <v>133</v>
      </c>
    </row>
    <row r="28" spans="1:4" ht="12.75">
      <c r="A28" s="56" t="str">
        <f>IF(Mono!$B$1=Mono!$O$4,Lang!B28,IF(Mono!$B$1=Mono!$O$5,Lang!C28,IF(Mono!$B$1=Mono!$O$6,Lang!D28,"")))</f>
        <v>Angle CDC'</v>
      </c>
      <c r="B28" s="57" t="s">
        <v>15</v>
      </c>
      <c r="C28" s="56" t="s">
        <v>101</v>
      </c>
      <c r="D28" s="56" t="s">
        <v>134</v>
      </c>
    </row>
    <row r="29" spans="1:4" ht="12.75">
      <c r="A29" s="56" t="str">
        <f>IF(Mono!$B$1=Mono!$O$4,Lang!B29,IF(Mono!$B$1=Mono!$O$5,Lang!C29,IF(Mono!$B$1=Mono!$O$6,Lang!D29,"")))</f>
        <v>Angle B'DA</v>
      </c>
      <c r="B29" s="57" t="s">
        <v>16</v>
      </c>
      <c r="C29" s="56" t="s">
        <v>102</v>
      </c>
      <c r="D29" s="56" t="s">
        <v>135</v>
      </c>
    </row>
    <row r="30" spans="1:4" ht="12.75">
      <c r="A30" s="56" t="str">
        <f>IF(Mono!$B$1=Mono!$O$4,Lang!B30,IF(Mono!$B$1=Mono!$O$5,Lang!C30,IF(Mono!$B$1=Mono!$O$6,Lang!D30,"")))</f>
        <v>Nouvelle longueur amorto B'A</v>
      </c>
      <c r="B30" s="57" t="s">
        <v>17</v>
      </c>
      <c r="C30" s="56" t="s">
        <v>80</v>
      </c>
      <c r="D30" s="56" t="s">
        <v>136</v>
      </c>
    </row>
    <row r="31" spans="1:4" ht="12.75">
      <c r="A31" s="56" t="str">
        <f>IF(Mono!$B$1=Mono!$O$4,Lang!B31,IF(Mono!$B$1=Mono!$O$5,Lang!C31,IF(Mono!$B$1=Mono!$O$6,Lang!D31,"")))</f>
        <v>Compression amortisseur</v>
      </c>
      <c r="B31" s="57" t="s">
        <v>21</v>
      </c>
      <c r="C31" s="57" t="s">
        <v>103</v>
      </c>
      <c r="D31" s="56" t="s">
        <v>137</v>
      </c>
    </row>
    <row r="32" spans="1:12" ht="12.75">
      <c r="A32" s="56" t="str">
        <f>IF(Mono!$B$1=Mono!$O$4,Lang!B32,IF(Mono!$B$1=Mono!$O$5,Lang!C32,IF(Mono!$B$1=Mono!$O$6,Lang!D32,"")))</f>
        <v>TABLEAU A REMPLIR DE VALEURS DE MOTOS</v>
      </c>
      <c r="B32" s="57" t="s">
        <v>104</v>
      </c>
      <c r="C32" s="57" t="s">
        <v>105</v>
      </c>
      <c r="D32" s="57" t="s">
        <v>138</v>
      </c>
      <c r="E32" s="57"/>
      <c r="F32" s="57"/>
      <c r="G32" s="57"/>
      <c r="H32" s="57"/>
      <c r="I32" s="57"/>
      <c r="J32" s="57"/>
      <c r="K32" s="57"/>
      <c r="L32" s="57"/>
    </row>
    <row r="33" spans="1:4" ht="12.75">
      <c r="A33" s="56" t="str">
        <f>IF(Mono!$B$1=Mono!$O$4,Lang!B33,IF(Mono!$B$1=Mono!$O$5,Lang!C33,IF(Mono!$B$1=Mono!$O$6,Lang!D33,"")))</f>
        <v>Bras oscillant</v>
      </c>
      <c r="B33" s="57" t="s">
        <v>66</v>
      </c>
      <c r="C33" s="57" t="s">
        <v>289</v>
      </c>
      <c r="D33" s="57" t="s">
        <v>290</v>
      </c>
    </row>
    <row r="34" spans="1:5" ht="12.75">
      <c r="A34" s="56" t="str">
        <f>IF(Mono!$B$1=Mono!$O$4,Lang!B34,IF(Mono!$B$1=Mono!$O$5,Lang!C34,IF(Mono!$B$1=Mono!$O$6,Lang!D34,"")))</f>
        <v>Biellette de commande d'amortisseur</v>
      </c>
      <c r="B34" s="57" t="s">
        <v>144</v>
      </c>
      <c r="C34" s="57" t="s">
        <v>292</v>
      </c>
      <c r="D34" s="57" t="s">
        <v>293</v>
      </c>
      <c r="E34" s="57"/>
    </row>
    <row r="35" spans="1:5" ht="12.75">
      <c r="A35" s="56" t="str">
        <f>IF(Mono!$B$1=Mono!$O$4,Lang!B35,IF(Mono!$B$1=Mono!$O$5,Lang!C35,IF(Mono!$B$1=Mono!$O$6,Lang!D35,"")))</f>
        <v>Tige de biellette de commande d'amortisseur</v>
      </c>
      <c r="B35" s="57" t="s">
        <v>145</v>
      </c>
      <c r="C35" s="57" t="s">
        <v>291</v>
      </c>
      <c r="D35" s="57" t="s">
        <v>294</v>
      </c>
      <c r="E35" s="57"/>
    </row>
    <row r="36" spans="1:4" ht="12.75">
      <c r="A36" s="56" t="str">
        <f>IF(Mono!$B$1=Mono!$O$4,Lang!B36,IF(Mono!$B$1=Mono!$O$5,Lang!C36,IF(Mono!$B$1=Mono!$O$6,Lang!D36,"")))</f>
        <v>Amortisseur</v>
      </c>
      <c r="B36" s="57" t="s">
        <v>41</v>
      </c>
      <c r="C36" s="57" t="s">
        <v>295</v>
      </c>
      <c r="D36" s="57" t="s">
        <v>296</v>
      </c>
    </row>
    <row r="37" spans="1:4" ht="12.75">
      <c r="A37" s="56" t="str">
        <f>IF(Mono!$B$1=Mono!$O$4,Lang!B37,IF(Mono!$B$1=Mono!$O$5,Lang!C37,IF(Mono!$B$1=Mono!$O$6,Lang!D37,"")))</f>
        <v>Patte de fixation haut amortisseur</v>
      </c>
      <c r="B37" s="57" t="s">
        <v>146</v>
      </c>
      <c r="C37" s="56" t="s">
        <v>107</v>
      </c>
      <c r="D37" s="57" t="s">
        <v>139</v>
      </c>
    </row>
    <row r="38" spans="1:4" ht="12.75">
      <c r="A38" s="56" t="str">
        <f>IF(Mono!$B$1=Mono!$O$4,Lang!B38,IF(Mono!$B$1=Mono!$O$5,Lang!C38,IF(Mono!$B$1=Mono!$O$6,Lang!D38,"")))</f>
        <v>Calcul des compressions d'amortisseur selon débattements de roue arrière</v>
      </c>
      <c r="B38" s="57" t="s">
        <v>222</v>
      </c>
      <c r="C38" s="56" t="s">
        <v>223</v>
      </c>
      <c r="D38" s="56" t="s">
        <v>224</v>
      </c>
    </row>
    <row r="39" spans="1:4" ht="12.75">
      <c r="A39" s="56">
        <f>IF(Mono!$B$1=Mono!$O$4,Lang!B39,IF(Mono!$B$1=Mono!$O$5,Lang!C39,IF(Mono!$B$1=Mono!$O$6,Lang!D39,"")))</f>
      </c>
      <c r="B39" s="59" t="s">
        <v>140</v>
      </c>
      <c r="C39" s="57" t="s">
        <v>67</v>
      </c>
      <c r="D39" s="59" t="s">
        <v>140</v>
      </c>
    </row>
    <row r="40" spans="1:4" ht="12.75">
      <c r="A40" s="56" t="str">
        <f>IF(Mono!$B$1=Mono!$O$4,Lang!B40,IF(Mono!$B$1=Mono!$O$5,Lang!C40,IF(Mono!$B$1=Mono!$O$6,Lang!D40,"")))</f>
        <v>au</v>
      </c>
      <c r="B40" s="56" t="s">
        <v>220</v>
      </c>
      <c r="C40" s="57" t="s">
        <v>69</v>
      </c>
      <c r="D40" s="56" t="s">
        <v>141</v>
      </c>
    </row>
    <row r="41" spans="1:4" ht="12.75">
      <c r="A41" s="56" t="str">
        <f>IF(Mono!$B$1=Mono!$O$4,Lang!B41,IF(Mono!$B$1=Mono!$O$5,Lang!C41,IF(Mono!$B$1=Mono!$O$6,Lang!D41,"")))</f>
        <v>choix</v>
      </c>
      <c r="B41" s="56" t="s">
        <v>221</v>
      </c>
      <c r="C41" s="57" t="s">
        <v>68</v>
      </c>
      <c r="D41" s="56" t="s">
        <v>142</v>
      </c>
    </row>
    <row r="42" spans="1:20" ht="12.75">
      <c r="A42" s="56" t="str">
        <f>IF(Mono!$B$1=Mono!$O$4,Lang!B42,IF(Mono!$B$1=Mono!$O$5,Lang!C42,IF(Mono!$B$1=Mono!$O$6,Lang!D42,"")))</f>
        <v>Calcul (tout en radians et mm) par incréments de </v>
      </c>
      <c r="B42" s="57" t="str">
        <f>"Calcul (tout en radians et mm) par incréments de "</f>
        <v>Calcul (tout en radians et mm) par incréments de </v>
      </c>
      <c r="C42" s="57" t="s">
        <v>108</v>
      </c>
      <c r="D42" s="57" t="s">
        <v>181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1" ht="12.75">
      <c r="A43" s="56" t="str">
        <f>IF(Mono!$B$1=Mono!$O$4,Lang!B43,IF(Mono!$B$1=Mono!$O$5,Lang!C43,IF(Mono!$B$1=Mono!$O$6,Lang!D43,"")))</f>
        <v> max ÷ 18 intervalles) pour tracé de courbe Graph1</v>
      </c>
      <c r="B43" s="57" t="str">
        <f>" max ÷ 18 intervalles) pour tracé de courbe Graph1"</f>
        <v> max ÷ 18 intervalles) pour tracé de courbe Graph1</v>
      </c>
      <c r="C43" s="57" t="str">
        <f>" max ÷ 18 gaps) for curve designing Graph1"</f>
        <v> max ÷ 18 gaps) for curve designing Graph1</v>
      </c>
      <c r="D43" s="57" t="str">
        <f>" max ÷ 18 intervall) um curve zu ziehen Graph1"</f>
        <v> max ÷ 18 intervall) um curve zu ziehen Graph1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</row>
    <row r="44" spans="1:4" ht="12.75">
      <c r="A44" s="56" t="str">
        <f>IF(Mono!$B$1=Mono!$O$4,Lang!B44,IF(Mono!$B$1=Mono!$O$5,Lang!C44,IF(Mono!$B$1=Mono!$O$6,Lang!D44,"")))</f>
        <v>Modif de tige de biellette CE pour changer hauteur de selle</v>
      </c>
      <c r="B44" s="57" t="s">
        <v>156</v>
      </c>
      <c r="C44" s="57" t="s">
        <v>157</v>
      </c>
      <c r="D44" s="57" t="s">
        <v>158</v>
      </c>
    </row>
    <row r="45" spans="1:4" ht="12.75">
      <c r="A45" s="56" t="str">
        <f>IF(Mono!$B$1=Mono!$O$4,Lang!B45,IF(Mono!$B$1=Mono!$O$5,Lang!C45,IF(Mono!$B$1=Mono!$O$6,Lang!D45,"")))</f>
        <v>Saisir Grandeur d'intervalle : </v>
      </c>
      <c r="B45" s="57" t="s">
        <v>175</v>
      </c>
      <c r="C45" s="56" t="s">
        <v>176</v>
      </c>
      <c r="D45" s="56" t="s">
        <v>177</v>
      </c>
    </row>
    <row r="46" spans="1:4" ht="12.75">
      <c r="A46" s="56" t="str">
        <f>IF(Mono!$B$1=Mono!$O$4,Lang!B46,IF(Mono!$B$1=Mono!$O$5,Lang!C46,IF(Mono!$B$1=Mono!$O$6,Lang!D46,"")))</f>
        <v>Calculs pour tige de biellette de</v>
      </c>
      <c r="B46" s="57" t="s">
        <v>218</v>
      </c>
      <c r="C46" s="56" t="s">
        <v>179</v>
      </c>
      <c r="D46" s="56" t="s">
        <v>182</v>
      </c>
    </row>
    <row r="47" spans="1:4" ht="12.75">
      <c r="A47" s="56" t="str">
        <f>IF(Mono!$B$1=Mono!$O$4,Lang!B47,IF(Mono!$B$1=Mono!$O$5,Lang!C47,IF(Mono!$B$1=Mono!$O$6,Lang!D47,"")))</f>
        <v>à</v>
      </c>
      <c r="B47" s="57" t="s">
        <v>178</v>
      </c>
      <c r="C47" s="56" t="s">
        <v>180</v>
      </c>
      <c r="D47" s="56" t="s">
        <v>183</v>
      </c>
    </row>
    <row r="48" spans="1:4" ht="12.75">
      <c r="A48" s="56" t="str">
        <f>IF(Mono!$B$1=Mono!$O$4,Lang!B48,IF(Mono!$B$1=Mono!$O$5,Lang!C48,IF(Mono!$B$1=Mono!$O$6,Lang!D48,"")))</f>
        <v>Longueurs tige de biellette CE</v>
      </c>
      <c r="B48" s="57" t="s">
        <v>168</v>
      </c>
      <c r="C48" s="56" t="s">
        <v>169</v>
      </c>
      <c r="D48" s="56" t="s">
        <v>170</v>
      </c>
    </row>
    <row r="49" spans="1:4" ht="12.75">
      <c r="A49" s="56" t="str">
        <f>IF(Mono!$B$1=Mono!$O$4,Lang!B49,IF(Mono!$B$1=Mono!$O$5,Lang!C49,IF(Mono!$B$1=Mono!$O$6,Lang!D49,"")))</f>
        <v>Diff de hauteur de selle</v>
      </c>
      <c r="B49" s="57" t="s">
        <v>40</v>
      </c>
      <c r="C49" s="56" t="s">
        <v>81</v>
      </c>
      <c r="D49" s="56" t="s">
        <v>143</v>
      </c>
    </row>
    <row r="50" spans="1:4" ht="12.75">
      <c r="A50" s="56" t="str">
        <f>IF(Mono!$B$1=Mono!$O$4,Lang!B50,IF(Mono!$B$1=Mono!$O$5,Lang!C50,IF(Mono!$B$1=Mono!$O$6,Lang!D50,"")))</f>
        <v>Cadre</v>
      </c>
      <c r="B50" s="57" t="s">
        <v>147</v>
      </c>
      <c r="C50" s="56" t="s">
        <v>148</v>
      </c>
      <c r="D50" s="56" t="s">
        <v>154</v>
      </c>
    </row>
    <row r="51" spans="1:4" ht="12.75">
      <c r="A51" s="56" t="str">
        <f>IF(Mono!$B$1=Mono!$O$4,Lang!B51,IF(Mono!$B$1=Mono!$O$5,Lang!C51,IF(Mono!$B$1=Mono!$O$6,Lang!D51,"")))</f>
        <v>Langue/Language/Sprache ===&gt;</v>
      </c>
      <c r="B51" s="57" t="s">
        <v>153</v>
      </c>
      <c r="C51" s="57" t="s">
        <v>153</v>
      </c>
      <c r="D51" s="57" t="s">
        <v>153</v>
      </c>
    </row>
    <row r="52" spans="1:4" ht="12.75">
      <c r="A52" s="56" t="str">
        <f>IF(Mono!$B$1=Mono!$O$4,Lang!B52,IF(Mono!$B$1=Mono!$O$5,Lang!C52,IF(Mono!$B$1=Mono!$O$6,Lang!D52,"")))</f>
        <v>NB : Coulisser les tubes de fourche de la même valeur + 10% (chasse 25°)</v>
      </c>
      <c r="B52" s="56" t="s">
        <v>323</v>
      </c>
      <c r="C52" s="57" t="s">
        <v>324</v>
      </c>
      <c r="D52" s="57" t="s">
        <v>325</v>
      </c>
    </row>
    <row r="53" spans="1:4" ht="12.75">
      <c r="A53" s="56" t="str">
        <f>IF(Mono!$B$1=Mono!$O$4,Lang!B53,IF(Mono!$B$1=Mono!$O$5,Lang!C53,IF(Mono!$B$1=Mono!$O$6,Lang!D53,"")))</f>
        <v>Diff de longueur tige de biellette</v>
      </c>
      <c r="B53" s="57" t="s">
        <v>171</v>
      </c>
      <c r="C53" s="56" t="s">
        <v>172</v>
      </c>
      <c r="D53" s="56" t="s">
        <v>173</v>
      </c>
    </row>
    <row r="54" spans="1:4" ht="12.75">
      <c r="A54" s="56" t="str">
        <f>IF(Mono!$B$1=Mono!$O$4,Lang!B54,IF(Mono!$B$1=Mono!$O$5,Lang!C54,IF(Mono!$B$1=Mono!$O$6,Lang!D54,"")))</f>
        <v>Montage d'un amortisseur de longueur différente : Calcul de longueur de tige de biellette pour conserver l'assiette d'origine sans charge</v>
      </c>
      <c r="B54" s="57" t="s">
        <v>174</v>
      </c>
      <c r="C54" s="56" t="s">
        <v>185</v>
      </c>
      <c r="D54" s="56" t="s">
        <v>186</v>
      </c>
    </row>
    <row r="55" spans="1:4" ht="12.75">
      <c r="A55" s="56" t="str">
        <f>IF(Mono!$B$1=Mono!$O$4,Lang!B55,IF(Mono!$B$1=Mono!$O$5,Lang!C55,IF(Mono!$B$1=Mono!$O$6,Lang!D55,"")))</f>
        <v>Calculs pour amortisseur de</v>
      </c>
      <c r="B55" s="57" t="s">
        <v>200</v>
      </c>
      <c r="C55" s="56" t="s">
        <v>187</v>
      </c>
      <c r="D55" s="56" t="s">
        <v>188</v>
      </c>
    </row>
    <row r="56" spans="1:4" ht="12.75">
      <c r="A56" s="56" t="str">
        <f>IF(Mono!$B$1=Mono!$O$4,Lang!B56,IF(Mono!$B$1=Mono!$O$5,Lang!C56,IF(Mono!$B$1=Mono!$O$6,Lang!D56,"")))</f>
        <v>AB' (nouvelle longueur amortisseur)</v>
      </c>
      <c r="B56" s="57" t="s">
        <v>159</v>
      </c>
      <c r="C56" s="56" t="s">
        <v>189</v>
      </c>
      <c r="D56" s="56" t="s">
        <v>190</v>
      </c>
    </row>
    <row r="57" spans="1:4" ht="12.75">
      <c r="A57" s="56" t="str">
        <f>IF(Mono!$B$1=Mono!$O$4,Lang!B57,IF(Mono!$B$1=Mono!$O$5,Lang!C57,IF(Mono!$B$1=Mono!$O$6,Lang!D57,"")))</f>
        <v>Diff de longueur d'amortisseur</v>
      </c>
      <c r="B57" s="57" t="s">
        <v>184</v>
      </c>
      <c r="C57" s="56" t="s">
        <v>191</v>
      </c>
      <c r="D57" s="56" t="s">
        <v>219</v>
      </c>
    </row>
    <row r="58" spans="1:4" ht="12.75">
      <c r="A58" s="56" t="str">
        <f>IF(Mono!$B$1=Mono!$O$4,Lang!B58,IF(Mono!$B$1=Mono!$O$5,Lang!C58,IF(Mono!$B$1=Mono!$O$6,Lang!D58,"")))</f>
        <v>Angle ADB (amortisseur standard)</v>
      </c>
      <c r="B58" s="57" t="s">
        <v>161</v>
      </c>
      <c r="C58" s="56" t="s">
        <v>192</v>
      </c>
      <c r="D58" s="56" t="s">
        <v>193</v>
      </c>
    </row>
    <row r="59" spans="1:4" ht="12.75">
      <c r="A59" s="56" t="str">
        <f>IF(Mono!$B$1=Mono!$O$4,Lang!B59,IF(Mono!$B$1=Mono!$O$5,Lang!C59,IF(Mono!$B$1=Mono!$O$6,Lang!D59,"")))</f>
        <v>Angle ADB' (nouvel amortisseur)</v>
      </c>
      <c r="B59" s="57" t="s">
        <v>162</v>
      </c>
      <c r="C59" s="56" t="s">
        <v>194</v>
      </c>
      <c r="D59" s="56" t="s">
        <v>195</v>
      </c>
    </row>
    <row r="60" spans="1:4" ht="12.75">
      <c r="A60" s="56" t="str">
        <f>IF(Mono!$B$1=Mono!$O$4,Lang!B60,IF(Mono!$B$1=Mono!$O$5,Lang!C60,IF(Mono!$B$1=Mono!$O$6,Lang!D60,"")))</f>
        <v>Angle BDB' (rotation biellette)</v>
      </c>
      <c r="B60" s="57" t="s">
        <v>160</v>
      </c>
      <c r="C60" s="56" t="s">
        <v>196</v>
      </c>
      <c r="D60" s="56" t="s">
        <v>197</v>
      </c>
    </row>
    <row r="61" spans="1:4" ht="12.75">
      <c r="A61" s="56" t="str">
        <f>IF(Mono!$B$1=Mono!$O$4,Lang!B61,IF(Mono!$B$1=Mono!$O$5,Lang!C61,IF(Mono!$B$1=Mono!$O$6,Lang!D61,"")))</f>
        <v>Distance ED</v>
      </c>
      <c r="B61" s="57" t="s">
        <v>163</v>
      </c>
      <c r="C61" s="56" t="s">
        <v>198</v>
      </c>
      <c r="D61" s="56" t="s">
        <v>199</v>
      </c>
    </row>
    <row r="62" spans="1:4" ht="12.75">
      <c r="A62" s="56" t="str">
        <f>IF(Mono!$B$1=Mono!$O$4,Lang!B62,IF(Mono!$B$1=Mono!$O$5,Lang!C62,IF(Mono!$B$1=Mono!$O$6,Lang!D62,"")))</f>
        <v>Angle PDE</v>
      </c>
      <c r="B62" s="57" t="s">
        <v>164</v>
      </c>
      <c r="C62" s="56" t="s">
        <v>201</v>
      </c>
      <c r="D62" s="56" t="s">
        <v>202</v>
      </c>
    </row>
    <row r="63" spans="1:4" ht="12.75">
      <c r="A63" s="56" t="str">
        <f>IF(Mono!$B$1=Mono!$O$4,Lang!B63,IF(Mono!$B$1=Mono!$O$5,Lang!C63,IF(Mono!$B$1=Mono!$O$6,Lang!D63,"")))</f>
        <v>Angle CDE</v>
      </c>
      <c r="B63" s="57" t="s">
        <v>165</v>
      </c>
      <c r="C63" s="56" t="s">
        <v>203</v>
      </c>
      <c r="D63" s="56" t="s">
        <v>205</v>
      </c>
    </row>
    <row r="64" spans="1:4" ht="12.75">
      <c r="A64" s="56" t="str">
        <f>IF(Mono!$B$1=Mono!$O$4,Lang!B64,IF(Mono!$B$1=Mono!$O$5,Lang!C64,IF(Mono!$B$1=Mono!$O$6,Lang!D64,"")))</f>
        <v>Angle C'DE</v>
      </c>
      <c r="B64" s="57" t="s">
        <v>166</v>
      </c>
      <c r="C64" s="56" t="s">
        <v>204</v>
      </c>
      <c r="D64" s="56" t="s">
        <v>206</v>
      </c>
    </row>
    <row r="65" spans="1:4" ht="12.75">
      <c r="A65" s="56" t="str">
        <f>IF(Mono!$B$1=Mono!$O$4,Lang!B65,IF(Mono!$B$1=Mono!$O$5,Lang!C65,IF(Mono!$B$1=Mono!$O$6,Lang!D65,"")))</f>
        <v>Longueur nouvelle tige de biellette C'E</v>
      </c>
      <c r="B65" s="57" t="s">
        <v>167</v>
      </c>
      <c r="C65" s="56" t="s">
        <v>207</v>
      </c>
      <c r="D65" s="56" t="s">
        <v>208</v>
      </c>
    </row>
    <row r="66" spans="1:4" ht="12.75">
      <c r="A66" s="56" t="str">
        <f>IF(Mono!$B$1=Mono!$O$4,Lang!B66,IF(Mono!$B$1=Mono!$O$5,Lang!C66,IF(Mono!$B$1=Mono!$O$6,Lang!D66,"")))</f>
        <v>NB : Vérifier que l'amortisseur ne bute pas vers l'avant (si &gt;</v>
      </c>
      <c r="B66" s="57" t="s">
        <v>209</v>
      </c>
      <c r="C66" s="56" t="s">
        <v>211</v>
      </c>
      <c r="D66" s="56" t="s">
        <v>213</v>
      </c>
    </row>
    <row r="67" spans="1:4" ht="12.75">
      <c r="A67" s="56" t="str">
        <f>IF(Mono!$B$1=Mono!$O$4,Lang!B67,IF(Mono!$B$1=Mono!$O$5,Lang!C67,IF(Mono!$B$1=Mono!$O$6,Lang!D67,"")))</f>
        <v>) ou vers l'arrière (si &lt;</v>
      </c>
      <c r="B67" s="57" t="s">
        <v>210</v>
      </c>
      <c r="C67" s="56" t="s">
        <v>212</v>
      </c>
      <c r="D67" s="56" t="s">
        <v>214</v>
      </c>
    </row>
    <row r="68" spans="1:4" ht="12.75">
      <c r="A68" s="56" t="str">
        <f>IF(Mono!$B$1=Mono!$O$4,Lang!B68,IF(Mono!$B$1=Mono!$O$5,Lang!C68,IF(Mono!$B$1=Mono!$O$6,Lang!D68,"")))</f>
        <v>lors des débattements</v>
      </c>
      <c r="B68" s="57" t="s">
        <v>215</v>
      </c>
      <c r="C68" s="56" t="s">
        <v>216</v>
      </c>
      <c r="D68" s="56" t="s">
        <v>217</v>
      </c>
    </row>
    <row r="69" spans="1:4" ht="12.75">
      <c r="A69" s="56" t="str">
        <f>IF(Mono!$B$1=Mono!$O$4,Lang!B69,IF(Mono!$B$1=Mono!$O$5,Lang!C69,IF(Mono!$B$1=Mono!$O$6,Lang!D69,"")))</f>
        <v>Renseignez vos propres valeurs (BIKE1…) en suivant ce lien</v>
      </c>
      <c r="B69" s="57" t="s">
        <v>226</v>
      </c>
      <c r="C69" s="56" t="s">
        <v>230</v>
      </c>
      <c r="D69" s="56" t="s">
        <v>229</v>
      </c>
    </row>
    <row r="70" spans="1:4" ht="12.75">
      <c r="A70" s="56" t="str">
        <f>IF(Mono!$B$1=Mono!$O$4,Lang!B70,IF(Mono!$B$1=Mono!$O$5,Lang!C70,IF(Mono!$B$1=Mono!$O$6,Lang!D70,"")))</f>
        <v>Comparaison linéaire</v>
      </c>
      <c r="B70" s="56" t="s">
        <v>231</v>
      </c>
      <c r="C70" s="56" t="s">
        <v>232</v>
      </c>
      <c r="D70" s="56" t="s">
        <v>233</v>
      </c>
    </row>
    <row r="71" spans="1:4" ht="12.75">
      <c r="A71" s="56" t="str">
        <f>IF(Mono!$B$1=Mono!$O$4,Lang!B71,IF(Mono!$B$1=Mono!$O$5,Lang!C71,IF(Mono!$B$1=Mono!$O$6,Lang!D71,"")))</f>
        <v>Calcul de résistance selon débattements de roue arrière Graph2</v>
      </c>
      <c r="B71" s="57" t="s">
        <v>236</v>
      </c>
      <c r="C71" s="56" t="s">
        <v>239</v>
      </c>
      <c r="D71" s="56" t="s">
        <v>240</v>
      </c>
    </row>
    <row r="72" spans="1:4" ht="12.75">
      <c r="A72" s="56" t="str">
        <f>IF(Mono!$B$1=Mono!$O$4,Lang!B72,IF(Mono!$B$1=Mono!$O$5,Lang!C72,IF(Mono!$B$1=Mono!$O$6,Lang!D72,"")))</f>
        <v>Saisir résistance du ressort N/mm (F1) :</v>
      </c>
      <c r="B72" s="57" t="s">
        <v>234</v>
      </c>
      <c r="C72" s="56" t="s">
        <v>241</v>
      </c>
      <c r="D72" s="56" t="s">
        <v>248</v>
      </c>
    </row>
    <row r="73" spans="1:4" ht="12.75">
      <c r="A73" s="56" t="str">
        <f>IF(Mono!$B$1=Mono!$O$4,Lang!B73,IF(Mono!$B$1=Mono!$O$5,Lang!C73,IF(Mono!$B$1=Mono!$O$6,Lang!D73,"")))</f>
        <v>Report Débattement (D2, abscisse)</v>
      </c>
      <c r="B73" s="57" t="s">
        <v>237</v>
      </c>
      <c r="C73" s="56" t="s">
        <v>242</v>
      </c>
      <c r="D73" s="56" t="s">
        <v>243</v>
      </c>
    </row>
    <row r="74" spans="1:4" ht="12.75">
      <c r="A74" s="56" t="str">
        <f>IF(Mono!$B$1=Mono!$O$4,Lang!B74,IF(Mono!$B$1=Mono!$O$5,Lang!C74,IF(Mono!$B$1=Mono!$O$6,Lang!D74,"")))</f>
        <v>Report Compression (D1)</v>
      </c>
      <c r="B74" s="57" t="s">
        <v>238</v>
      </c>
      <c r="C74" s="56" t="s">
        <v>244</v>
      </c>
      <c r="D74" s="56" t="s">
        <v>245</v>
      </c>
    </row>
    <row r="75" spans="1:4" ht="12.75">
      <c r="A75" s="56" t="str">
        <f>IF(Mono!$B$1=Mono!$O$4,Lang!B75,IF(Mono!$B$1=Mono!$O$5,Lang!C75,IF(Mono!$B$1=Mono!$O$6,Lang!D75,"")))</f>
        <v>Résistance</v>
      </c>
      <c r="B75" s="57" t="s">
        <v>285</v>
      </c>
      <c r="C75" s="56" t="s">
        <v>286</v>
      </c>
      <c r="D75" s="56" t="s">
        <v>246</v>
      </c>
    </row>
    <row r="76" spans="1:4" ht="12.75">
      <c r="A76" s="56" t="str">
        <f>IF(Mono!$B$1=Mono!$O$4,Lang!B76,IF(Mono!$B$1=Mono!$O$5,Lang!C76,IF(Mono!$B$1=Mono!$O$6,Lang!D76,"")))</f>
        <v> F2=F1xD1/D2 (ordonnée)</v>
      </c>
      <c r="B76" s="57" t="s">
        <v>287</v>
      </c>
      <c r="C76" s="56" t="s">
        <v>288</v>
      </c>
      <c r="D76" s="56" t="s">
        <v>288</v>
      </c>
    </row>
    <row r="77" spans="1:4" ht="12.75">
      <c r="A77" s="56" t="str">
        <f>IF(Mono!$B$1=Mono!$O$4,Lang!B77,IF(Mono!$B$1=Mono!$O$5,Lang!C77,IF(Mono!$B$1=Mono!$O$6,Lang!D77,"")))</f>
        <v>Différences</v>
      </c>
      <c r="B77" s="57" t="s">
        <v>235</v>
      </c>
      <c r="C77" s="57" t="s">
        <v>235</v>
      </c>
      <c r="D77" s="56" t="s">
        <v>247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"/>
    </sheetView>
  </sheetViews>
  <sheetFormatPr defaultColWidth="11.421875" defaultRowHeight="12.75"/>
  <cols>
    <col min="1" max="1" width="44.28125" style="0" bestFit="1" customWidth="1"/>
    <col min="2" max="26" width="6.28125" style="0" customWidth="1"/>
  </cols>
  <sheetData>
    <row r="1" ht="12.75">
      <c r="A1" s="3" t="s">
        <v>322</v>
      </c>
    </row>
    <row r="3" spans="1:2" ht="12.75">
      <c r="A3" t="s">
        <v>304</v>
      </c>
      <c r="B3" s="126">
        <v>455</v>
      </c>
    </row>
    <row r="4" spans="1:2" ht="12.75">
      <c r="A4" t="s">
        <v>305</v>
      </c>
      <c r="B4" s="126">
        <v>325</v>
      </c>
    </row>
    <row r="5" spans="1:2" ht="12.75">
      <c r="A5" t="s">
        <v>306</v>
      </c>
      <c r="B5" s="126">
        <v>40</v>
      </c>
    </row>
    <row r="6" spans="1:2" ht="12.75">
      <c r="A6" t="s">
        <v>307</v>
      </c>
      <c r="B6" s="126">
        <v>50</v>
      </c>
    </row>
    <row r="7" spans="1:2" ht="12.75">
      <c r="A7" t="s">
        <v>302</v>
      </c>
      <c r="B7" s="126">
        <v>-55</v>
      </c>
    </row>
    <row r="8" spans="1:2" ht="12.75">
      <c r="A8" t="s">
        <v>303</v>
      </c>
      <c r="B8" s="126">
        <v>525</v>
      </c>
    </row>
    <row r="9" spans="1:2" ht="12.75">
      <c r="A9" t="s">
        <v>319</v>
      </c>
      <c r="B9" s="126">
        <v>140</v>
      </c>
    </row>
    <row r="16" ht="12.75">
      <c r="A16" s="3" t="s">
        <v>321</v>
      </c>
    </row>
    <row r="17" spans="2:3" ht="12.75">
      <c r="B17" s="1" t="s">
        <v>309</v>
      </c>
      <c r="C17" s="1" t="s">
        <v>310</v>
      </c>
    </row>
    <row r="18" spans="1:3" ht="12.75">
      <c r="A18" t="s">
        <v>308</v>
      </c>
      <c r="B18" s="42">
        <f>ASIN(B7/B8)</f>
        <v>-0.10495448537261055</v>
      </c>
      <c r="C18" s="42">
        <f>B18*180/PI()</f>
        <v>-6.0134490528181175</v>
      </c>
    </row>
    <row r="19" spans="1:3" ht="12.75">
      <c r="A19" t="s">
        <v>311</v>
      </c>
      <c r="B19" s="42">
        <f>ATAN(B5/(B8-B6))</f>
        <v>0.08401231180749458</v>
      </c>
      <c r="C19" s="42">
        <f>B19*180/PI()</f>
        <v>4.813550893706532</v>
      </c>
    </row>
    <row r="20" spans="1:3" ht="12.75">
      <c r="A20" t="s">
        <v>312</v>
      </c>
      <c r="B20" s="42">
        <f>SQRT(B5^2+(B8-B6)^2)</f>
        <v>476.68123520860354</v>
      </c>
      <c r="C20" s="42"/>
    </row>
    <row r="21" spans="1:3" ht="12.75">
      <c r="A21" t="s">
        <v>317</v>
      </c>
      <c r="B21" s="42">
        <f>ACOS((B20^2+B3^2-B4^2)/2/B20/B3)</f>
        <v>0.7111915849157472</v>
      </c>
      <c r="C21" s="42">
        <f>B21*180/PI()</f>
        <v>40.74827624089222</v>
      </c>
    </row>
    <row r="26" ht="13.5" thickBot="1"/>
    <row r="27" spans="1:20" ht="13.5" thickTop="1">
      <c r="A27" s="17"/>
      <c r="B27" s="18"/>
      <c r="C27" s="18"/>
      <c r="D27" s="18"/>
      <c r="E27" s="18"/>
      <c r="F27" s="18"/>
      <c r="G27" s="18"/>
      <c r="H27" s="85"/>
      <c r="I27" s="85"/>
      <c r="J27" s="85"/>
      <c r="K27" s="85"/>
      <c r="L27" s="85"/>
      <c r="M27" s="85"/>
      <c r="N27" s="85"/>
      <c r="O27" s="86"/>
      <c r="P27" s="87"/>
      <c r="Q27" s="87"/>
      <c r="R27" s="87"/>
      <c r="S27" s="87"/>
      <c r="T27" s="19"/>
    </row>
    <row r="28" spans="1:20" ht="12.75">
      <c r="A28" s="129" t="str">
        <f>Lang!A38</f>
        <v>Calcul des compressions d'amortisseur selon débattements de roue arrière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1"/>
    </row>
    <row r="29" spans="1:21" ht="12.75">
      <c r="A29" s="10"/>
      <c r="B29" s="5"/>
      <c r="C29" s="5"/>
      <c r="D29" s="5"/>
      <c r="E29" s="5"/>
      <c r="F29" s="5"/>
      <c r="G29" s="5"/>
      <c r="H29" s="12"/>
      <c r="I29" s="12"/>
      <c r="J29" s="12"/>
      <c r="K29" s="12"/>
      <c r="L29" s="12"/>
      <c r="M29" s="12"/>
      <c r="N29" s="12"/>
      <c r="O29" s="35"/>
      <c r="P29" s="33"/>
      <c r="Q29" s="33"/>
      <c r="R29" s="33"/>
      <c r="S29" s="33"/>
      <c r="T29" s="11"/>
      <c r="U29" s="119"/>
    </row>
    <row r="30" spans="1:21" ht="12.75">
      <c r="A30" s="10"/>
      <c r="B30" s="5"/>
      <c r="C30" s="83"/>
      <c r="D30" s="84" t="str">
        <f>Lang!A42&amp;" "&amp;FIXED(B9/18,1)&amp;" ("&amp;FIXED(B9,0)&amp;Lang!A43</f>
        <v>Calcul (tout en radians et mm) par incréments de  7,8 (140 max ÷ 18 intervalles) pour tracé de courbe Graph1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8"/>
      <c r="U30" s="120" t="s">
        <v>220</v>
      </c>
    </row>
    <row r="31" spans="1:21" ht="12.75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1"/>
      <c r="U31" s="120" t="s">
        <v>221</v>
      </c>
    </row>
    <row r="32" spans="1:21" ht="12.75">
      <c r="A32" s="109" t="str">
        <f>Lang!A20</f>
        <v>Débattement roue (vertical)</v>
      </c>
      <c r="B32" s="63">
        <v>0</v>
      </c>
      <c r="C32" s="63">
        <f aca="true" t="shared" si="0" ref="C32:T32">B32+$B$9/18</f>
        <v>7.777777777777778</v>
      </c>
      <c r="D32" s="63">
        <f t="shared" si="0"/>
        <v>15.555555555555555</v>
      </c>
      <c r="E32" s="63">
        <f t="shared" si="0"/>
        <v>23.333333333333332</v>
      </c>
      <c r="F32" s="63">
        <f t="shared" si="0"/>
        <v>31.11111111111111</v>
      </c>
      <c r="G32" s="63">
        <f t="shared" si="0"/>
        <v>38.888888888888886</v>
      </c>
      <c r="H32" s="63">
        <f t="shared" si="0"/>
        <v>46.666666666666664</v>
      </c>
      <c r="I32" s="63">
        <f t="shared" si="0"/>
        <v>54.44444444444444</v>
      </c>
      <c r="J32" s="63">
        <f t="shared" si="0"/>
        <v>62.22222222222222</v>
      </c>
      <c r="K32" s="63">
        <f t="shared" si="0"/>
        <v>70</v>
      </c>
      <c r="L32" s="63">
        <f t="shared" si="0"/>
        <v>77.77777777777777</v>
      </c>
      <c r="M32" s="63">
        <f t="shared" si="0"/>
        <v>85.55555555555554</v>
      </c>
      <c r="N32" s="63">
        <f t="shared" si="0"/>
        <v>93.33333333333331</v>
      </c>
      <c r="O32" s="63">
        <f t="shared" si="0"/>
        <v>101.11111111111109</v>
      </c>
      <c r="P32" s="63">
        <f t="shared" si="0"/>
        <v>108.88888888888886</v>
      </c>
      <c r="Q32" s="63">
        <f t="shared" si="0"/>
        <v>116.66666666666663</v>
      </c>
      <c r="R32" s="63">
        <f t="shared" si="0"/>
        <v>124.4444444444444</v>
      </c>
      <c r="S32" s="63">
        <f t="shared" si="0"/>
        <v>132.22222222222217</v>
      </c>
      <c r="T32" s="116">
        <f t="shared" si="0"/>
        <v>139.99999999999994</v>
      </c>
      <c r="U32" s="121">
        <v>130</v>
      </c>
    </row>
    <row r="33" spans="1:21" ht="12.75">
      <c r="A33" s="10" t="s">
        <v>313</v>
      </c>
      <c r="B33" s="4">
        <f aca="true" t="shared" si="1" ref="B33:U33">B32+$B$7</f>
        <v>-55</v>
      </c>
      <c r="C33" s="4">
        <f t="shared" si="1"/>
        <v>-47.22222222222222</v>
      </c>
      <c r="D33" s="4">
        <f t="shared" si="1"/>
        <v>-39.44444444444444</v>
      </c>
      <c r="E33" s="4">
        <f t="shared" si="1"/>
        <v>-31.666666666666668</v>
      </c>
      <c r="F33" s="4">
        <f t="shared" si="1"/>
        <v>-23.88888888888889</v>
      </c>
      <c r="G33" s="4">
        <f t="shared" si="1"/>
        <v>-16.111111111111114</v>
      </c>
      <c r="H33" s="4">
        <f t="shared" si="1"/>
        <v>-8.333333333333336</v>
      </c>
      <c r="I33" s="4">
        <f t="shared" si="1"/>
        <v>-0.5555555555555571</v>
      </c>
      <c r="J33" s="4">
        <f t="shared" si="1"/>
        <v>7.222222222222221</v>
      </c>
      <c r="K33" s="4">
        <f t="shared" si="1"/>
        <v>15</v>
      </c>
      <c r="L33" s="4">
        <f t="shared" si="1"/>
        <v>22.77777777777777</v>
      </c>
      <c r="M33" s="4">
        <f t="shared" si="1"/>
        <v>30.555555555555543</v>
      </c>
      <c r="N33" s="4">
        <f t="shared" si="1"/>
        <v>38.333333333333314</v>
      </c>
      <c r="O33" s="4">
        <f t="shared" si="1"/>
        <v>46.111111111111086</v>
      </c>
      <c r="P33" s="4">
        <f t="shared" si="1"/>
        <v>53.88888888888886</v>
      </c>
      <c r="Q33" s="4">
        <f t="shared" si="1"/>
        <v>61.66666666666663</v>
      </c>
      <c r="R33" s="4">
        <f t="shared" si="1"/>
        <v>69.4444444444444</v>
      </c>
      <c r="S33" s="4">
        <f t="shared" si="1"/>
        <v>77.22222222222217</v>
      </c>
      <c r="T33" s="72">
        <f t="shared" si="1"/>
        <v>84.99999999999994</v>
      </c>
      <c r="U33" s="43">
        <f t="shared" si="1"/>
        <v>75</v>
      </c>
    </row>
    <row r="34" spans="1:21" ht="12.75">
      <c r="A34" s="10" t="s">
        <v>314</v>
      </c>
      <c r="B34" s="4">
        <f aca="true" t="shared" si="2" ref="B34:U34">ASIN(B33/$B$8)</f>
        <v>-0.10495448537261055</v>
      </c>
      <c r="C34" s="4">
        <f t="shared" si="2"/>
        <v>-0.09006881949283238</v>
      </c>
      <c r="D34" s="4">
        <f t="shared" si="2"/>
        <v>-0.07520314047176747</v>
      </c>
      <c r="E34" s="4">
        <f t="shared" si="2"/>
        <v>-0.060354094784062014</v>
      </c>
      <c r="F34" s="4">
        <f t="shared" si="2"/>
        <v>-0.04551836228512578</v>
      </c>
      <c r="G34" s="4">
        <f t="shared" si="2"/>
        <v>-0.03069264940491899</v>
      </c>
      <c r="H34" s="4">
        <f t="shared" si="2"/>
        <v>-0.01587368248995569</v>
      </c>
      <c r="I34" s="4">
        <f t="shared" si="2"/>
        <v>-0.0010582012556948962</v>
      </c>
      <c r="J34" s="4">
        <f t="shared" si="2"/>
        <v>0.013757047687304924</v>
      </c>
      <c r="K34" s="4">
        <f t="shared" si="2"/>
        <v>0.028575317269292654</v>
      </c>
      <c r="L34" s="4">
        <f t="shared" si="2"/>
        <v>0.043399866394707214</v>
      </c>
      <c r="M34" s="4">
        <f t="shared" si="2"/>
        <v>0.05823396640842373</v>
      </c>
      <c r="N34" s="4">
        <f t="shared" si="2"/>
        <v>0.07308090763060532</v>
      </c>
      <c r="O34" s="4">
        <f t="shared" si="2"/>
        <v>0.08794400599664665</v>
      </c>
      <c r="P34" s="4">
        <f t="shared" si="2"/>
        <v>0.10282660983984016</v>
      </c>
      <c r="Q34" s="4">
        <f t="shared" si="2"/>
        <v>0.11773210685596427</v>
      </c>
      <c r="R34" s="4">
        <f t="shared" si="2"/>
        <v>0.13266393129101178</v>
      </c>
      <c r="S34" s="4">
        <f t="shared" si="2"/>
        <v>0.14762557139578442</v>
      </c>
      <c r="T34" s="72">
        <f t="shared" si="2"/>
        <v>0.1626205771941238</v>
      </c>
      <c r="U34" s="43">
        <f t="shared" si="2"/>
        <v>0.14334756890536535</v>
      </c>
    </row>
    <row r="35" spans="1:21" ht="12.75">
      <c r="A35" s="10" t="s">
        <v>315</v>
      </c>
      <c r="B35" s="4">
        <f>B34-$B$18</f>
        <v>0</v>
      </c>
      <c r="C35" s="4">
        <f aca="true" t="shared" si="3" ref="C35:U35">C34-$B$18</f>
        <v>0.014885665879778173</v>
      </c>
      <c r="D35" s="4">
        <f t="shared" si="3"/>
        <v>0.02975134490084308</v>
      </c>
      <c r="E35" s="4">
        <f t="shared" si="3"/>
        <v>0.04460039058854854</v>
      </c>
      <c r="F35" s="4">
        <f t="shared" si="3"/>
        <v>0.05943612308748478</v>
      </c>
      <c r="G35" s="4">
        <f t="shared" si="3"/>
        <v>0.07426183596769156</v>
      </c>
      <c r="H35" s="4">
        <f t="shared" si="3"/>
        <v>0.08908080288265487</v>
      </c>
      <c r="I35" s="4">
        <f t="shared" si="3"/>
        <v>0.10389628411691566</v>
      </c>
      <c r="J35" s="4">
        <f t="shared" si="3"/>
        <v>0.11871153305991548</v>
      </c>
      <c r="K35" s="4">
        <f t="shared" si="3"/>
        <v>0.1335298026419032</v>
      </c>
      <c r="L35" s="4">
        <f t="shared" si="3"/>
        <v>0.14835435176731776</v>
      </c>
      <c r="M35" s="4">
        <f t="shared" si="3"/>
        <v>0.16318845178103428</v>
      </c>
      <c r="N35" s="4">
        <f t="shared" si="3"/>
        <v>0.17803539300321586</v>
      </c>
      <c r="O35" s="4">
        <f t="shared" si="3"/>
        <v>0.19289849136925719</v>
      </c>
      <c r="P35" s="4">
        <f t="shared" si="3"/>
        <v>0.2077810952124507</v>
      </c>
      <c r="Q35" s="4">
        <f t="shared" si="3"/>
        <v>0.22268659222857484</v>
      </c>
      <c r="R35" s="4">
        <f t="shared" si="3"/>
        <v>0.23761841666362232</v>
      </c>
      <c r="S35" s="4">
        <f t="shared" si="3"/>
        <v>0.25258005676839496</v>
      </c>
      <c r="T35" s="72">
        <f t="shared" si="3"/>
        <v>0.26757506256673436</v>
      </c>
      <c r="U35" s="43">
        <f t="shared" si="3"/>
        <v>0.24830205427797591</v>
      </c>
    </row>
    <row r="36" spans="1:21" ht="12.75">
      <c r="A36" s="10" t="s">
        <v>316</v>
      </c>
      <c r="B36" s="4">
        <f>B35</f>
        <v>0</v>
      </c>
      <c r="C36" s="4">
        <f aca="true" t="shared" si="4" ref="C36:U36">C35</f>
        <v>0.014885665879778173</v>
      </c>
      <c r="D36" s="4">
        <f t="shared" si="4"/>
        <v>0.02975134490084308</v>
      </c>
      <c r="E36" s="4">
        <f t="shared" si="4"/>
        <v>0.04460039058854854</v>
      </c>
      <c r="F36" s="4">
        <f t="shared" si="4"/>
        <v>0.05943612308748478</v>
      </c>
      <c r="G36" s="4">
        <f t="shared" si="4"/>
        <v>0.07426183596769156</v>
      </c>
      <c r="H36" s="4">
        <f t="shared" si="4"/>
        <v>0.08908080288265487</v>
      </c>
      <c r="I36" s="4">
        <f t="shared" si="4"/>
        <v>0.10389628411691566</v>
      </c>
      <c r="J36" s="4">
        <f t="shared" si="4"/>
        <v>0.11871153305991548</v>
      </c>
      <c r="K36" s="4">
        <f t="shared" si="4"/>
        <v>0.1335298026419032</v>
      </c>
      <c r="L36" s="4">
        <f t="shared" si="4"/>
        <v>0.14835435176731776</v>
      </c>
      <c r="M36" s="4">
        <f t="shared" si="4"/>
        <v>0.16318845178103428</v>
      </c>
      <c r="N36" s="4">
        <f t="shared" si="4"/>
        <v>0.17803539300321586</v>
      </c>
      <c r="O36" s="4">
        <f t="shared" si="4"/>
        <v>0.19289849136925719</v>
      </c>
      <c r="P36" s="4">
        <f t="shared" si="4"/>
        <v>0.2077810952124507</v>
      </c>
      <c r="Q36" s="4">
        <f t="shared" si="4"/>
        <v>0.22268659222857484</v>
      </c>
      <c r="R36" s="4">
        <f t="shared" si="4"/>
        <v>0.23761841666362232</v>
      </c>
      <c r="S36" s="4">
        <f t="shared" si="4"/>
        <v>0.25258005676839496</v>
      </c>
      <c r="T36" s="72">
        <f t="shared" si="4"/>
        <v>0.26757506256673436</v>
      </c>
      <c r="U36" s="43">
        <f t="shared" si="4"/>
        <v>0.24830205427797591</v>
      </c>
    </row>
    <row r="37" spans="1:21" ht="12.75">
      <c r="A37" s="10" t="s">
        <v>318</v>
      </c>
      <c r="B37" s="4">
        <f>$B$21-B36</f>
        <v>0.7111915849157472</v>
      </c>
      <c r="C37" s="4">
        <f aca="true" t="shared" si="5" ref="C37:U37">$B$21-C36</f>
        <v>0.6963059190359691</v>
      </c>
      <c r="D37" s="4">
        <f t="shared" si="5"/>
        <v>0.6814402400149041</v>
      </c>
      <c r="E37" s="4">
        <f t="shared" si="5"/>
        <v>0.6665911943271986</v>
      </c>
      <c r="F37" s="4">
        <f t="shared" si="5"/>
        <v>0.6517554618282624</v>
      </c>
      <c r="G37" s="4">
        <f t="shared" si="5"/>
        <v>0.6369297489480557</v>
      </c>
      <c r="H37" s="4">
        <f t="shared" si="5"/>
        <v>0.6221107820330923</v>
      </c>
      <c r="I37" s="4">
        <f t="shared" si="5"/>
        <v>0.6072953007988315</v>
      </c>
      <c r="J37" s="4">
        <f t="shared" si="5"/>
        <v>0.5924800518558317</v>
      </c>
      <c r="K37" s="4">
        <f t="shared" si="5"/>
        <v>0.577661782273844</v>
      </c>
      <c r="L37" s="4">
        <f t="shared" si="5"/>
        <v>0.5628372331484295</v>
      </c>
      <c r="M37" s="4">
        <f t="shared" si="5"/>
        <v>0.5480031331347129</v>
      </c>
      <c r="N37" s="4">
        <f t="shared" si="5"/>
        <v>0.5331561919125314</v>
      </c>
      <c r="O37" s="4">
        <f t="shared" si="5"/>
        <v>0.51829309354649</v>
      </c>
      <c r="P37" s="4">
        <f t="shared" si="5"/>
        <v>0.5034104897032965</v>
      </c>
      <c r="Q37" s="4">
        <f t="shared" si="5"/>
        <v>0.48850499268717235</v>
      </c>
      <c r="R37" s="4">
        <f t="shared" si="5"/>
        <v>0.47357316825212487</v>
      </c>
      <c r="S37" s="4">
        <f t="shared" si="5"/>
        <v>0.45861152814735223</v>
      </c>
      <c r="T37" s="72">
        <f t="shared" si="5"/>
        <v>0.44361652234901283</v>
      </c>
      <c r="U37" s="43">
        <f t="shared" si="5"/>
        <v>0.4628895306377713</v>
      </c>
    </row>
    <row r="38" spans="1:21" ht="12.75">
      <c r="A38" s="10" t="s">
        <v>320</v>
      </c>
      <c r="B38" s="4">
        <f aca="true" t="shared" si="6" ref="B38:U38">SQRT($B$3^2+$B$20^2-2*$B$3*$B$20*COS(B37))</f>
        <v>324.9999999999999</v>
      </c>
      <c r="C38" s="4">
        <f t="shared" si="6"/>
        <v>318.50710203830135</v>
      </c>
      <c r="D38" s="4">
        <f t="shared" si="6"/>
        <v>312.00601195685067</v>
      </c>
      <c r="E38" s="4">
        <f t="shared" si="6"/>
        <v>305.4957287068353</v>
      </c>
      <c r="F38" s="4">
        <f t="shared" si="6"/>
        <v>298.97525317128776</v>
      </c>
      <c r="G38" s="4">
        <f t="shared" si="6"/>
        <v>292.44358668521306</v>
      </c>
      <c r="H38" s="4">
        <f t="shared" si="6"/>
        <v>285.8997296351644</v>
      </c>
      <c r="I38" s="4">
        <f t="shared" si="6"/>
        <v>279.34268014147915</v>
      </c>
      <c r="J38" s="4">
        <f t="shared" si="6"/>
        <v>272.7714328293838</v>
      </c>
      <c r="K38" s="4">
        <f t="shared" si="6"/>
        <v>266.1849776987732</v>
      </c>
      <c r="L38" s="4">
        <f t="shared" si="6"/>
        <v>259.58229910687027</v>
      </c>
      <c r="M38" s="4">
        <f t="shared" si="6"/>
        <v>252.96237488345122</v>
      </c>
      <c r="N38" s="4">
        <f t="shared" si="6"/>
        <v>246.32417560519977</v>
      </c>
      <c r="O38" s="4">
        <f t="shared" si="6"/>
        <v>239.66666406451478</v>
      </c>
      <c r="P38" s="4">
        <f t="shared" si="6"/>
        <v>232.98879497933427</v>
      </c>
      <c r="Q38" s="4">
        <f t="shared" si="6"/>
        <v>226.2895150050952</v>
      </c>
      <c r="R38" s="4">
        <f t="shared" si="6"/>
        <v>219.56776312896469</v>
      </c>
      <c r="S38" s="4">
        <f t="shared" si="6"/>
        <v>212.82247155150904</v>
      </c>
      <c r="T38" s="72">
        <f t="shared" si="6"/>
        <v>206.0525671942184</v>
      </c>
      <c r="U38" s="43">
        <f t="shared" si="6"/>
        <v>214.75216221806093</v>
      </c>
    </row>
    <row r="39" spans="1:21" ht="12.75">
      <c r="A39" s="109" t="s">
        <v>21</v>
      </c>
      <c r="B39" s="63">
        <f aca="true" t="shared" si="7" ref="B39:U39">$B$4-B38</f>
        <v>0</v>
      </c>
      <c r="C39" s="63">
        <f t="shared" si="7"/>
        <v>6.492897961698645</v>
      </c>
      <c r="D39" s="63">
        <f t="shared" si="7"/>
        <v>12.99398804314933</v>
      </c>
      <c r="E39" s="63">
        <f t="shared" si="7"/>
        <v>19.50427129316472</v>
      </c>
      <c r="F39" s="63">
        <f t="shared" si="7"/>
        <v>26.02474682871224</v>
      </c>
      <c r="G39" s="63">
        <f t="shared" si="7"/>
        <v>32.55641331478694</v>
      </c>
      <c r="H39" s="63">
        <f t="shared" si="7"/>
        <v>39.10027036483558</v>
      </c>
      <c r="I39" s="63">
        <f t="shared" si="7"/>
        <v>45.65731985852085</v>
      </c>
      <c r="J39" s="63">
        <f t="shared" si="7"/>
        <v>52.2285671706162</v>
      </c>
      <c r="K39" s="63">
        <f t="shared" si="7"/>
        <v>58.815022301226804</v>
      </c>
      <c r="L39" s="63">
        <f t="shared" si="7"/>
        <v>65.41770089312973</v>
      </c>
      <c r="M39" s="63">
        <f t="shared" si="7"/>
        <v>72.03762511654878</v>
      </c>
      <c r="N39" s="63">
        <f t="shared" si="7"/>
        <v>78.67582439480023</v>
      </c>
      <c r="O39" s="63">
        <f t="shared" si="7"/>
        <v>85.33333593548522</v>
      </c>
      <c r="P39" s="63">
        <f t="shared" si="7"/>
        <v>92.01120502066573</v>
      </c>
      <c r="Q39" s="63">
        <f t="shared" si="7"/>
        <v>98.71048499490479</v>
      </c>
      <c r="R39" s="63">
        <f t="shared" si="7"/>
        <v>105.43223687103531</v>
      </c>
      <c r="S39" s="63">
        <f t="shared" si="7"/>
        <v>112.17752844849096</v>
      </c>
      <c r="T39" s="63">
        <f t="shared" si="7"/>
        <v>118.9474328057816</v>
      </c>
      <c r="U39" s="122">
        <f t="shared" si="7"/>
        <v>110.24783778193907</v>
      </c>
    </row>
    <row r="40" spans="1:21" ht="12.75">
      <c r="A40" s="95" t="str">
        <f>Lang!A70&amp;" Y="&amp;FIXED(($T$39-$B$39)/($T$32-$B$32),3)&amp;"*X"</f>
        <v>Comparaison linéaire Y=0,850*X</v>
      </c>
      <c r="B40" s="118">
        <f aca="true" t="shared" si="8" ref="B40:U40">B32*($T$39-$B$39)/($T$32-$B$32)+$B$39-$B$32*($T$39-$B$39)/($T$32-$B$32)</f>
        <v>0</v>
      </c>
      <c r="C40" s="118">
        <f t="shared" si="8"/>
        <v>6.6081907114323135</v>
      </c>
      <c r="D40" s="118">
        <f t="shared" si="8"/>
        <v>13.216381422864627</v>
      </c>
      <c r="E40" s="118">
        <f t="shared" si="8"/>
        <v>19.82457213429694</v>
      </c>
      <c r="F40" s="118">
        <f t="shared" si="8"/>
        <v>26.432762845729254</v>
      </c>
      <c r="G40" s="118">
        <f t="shared" si="8"/>
        <v>33.040953557161565</v>
      </c>
      <c r="H40" s="118">
        <f t="shared" si="8"/>
        <v>39.64914426859388</v>
      </c>
      <c r="I40" s="118">
        <f t="shared" si="8"/>
        <v>46.257334980026194</v>
      </c>
      <c r="J40" s="118">
        <f t="shared" si="8"/>
        <v>52.86552569145851</v>
      </c>
      <c r="K40" s="118">
        <f t="shared" si="8"/>
        <v>59.47371640289083</v>
      </c>
      <c r="L40" s="118">
        <f t="shared" si="8"/>
        <v>66.08190711432313</v>
      </c>
      <c r="M40" s="118">
        <f t="shared" si="8"/>
        <v>72.69009782575544</v>
      </c>
      <c r="N40" s="118">
        <f t="shared" si="8"/>
        <v>79.29828853718774</v>
      </c>
      <c r="O40" s="118">
        <f t="shared" si="8"/>
        <v>85.90647924862006</v>
      </c>
      <c r="P40" s="118">
        <f t="shared" si="8"/>
        <v>92.51466996005236</v>
      </c>
      <c r="Q40" s="118">
        <f t="shared" si="8"/>
        <v>99.12286067148467</v>
      </c>
      <c r="R40" s="118">
        <f t="shared" si="8"/>
        <v>105.73105138291699</v>
      </c>
      <c r="S40" s="118">
        <f t="shared" si="8"/>
        <v>112.3392420943493</v>
      </c>
      <c r="T40" s="114">
        <f t="shared" si="8"/>
        <v>118.9474328057816</v>
      </c>
      <c r="U40" s="117">
        <f t="shared" si="8"/>
        <v>110.45118760536867</v>
      </c>
    </row>
    <row r="41" spans="1:21" ht="13.5" thickBot="1">
      <c r="A41" s="24" t="str">
        <f>Lang!A77</f>
        <v>Différences</v>
      </c>
      <c r="B41" s="94">
        <f>B40-B39</f>
        <v>0</v>
      </c>
      <c r="C41" s="94">
        <f aca="true" t="shared" si="9" ref="C41:T41">C40-C39</f>
        <v>0.11529274973366821</v>
      </c>
      <c r="D41" s="94">
        <f t="shared" si="9"/>
        <v>0.2223933797152977</v>
      </c>
      <c r="E41" s="94">
        <f t="shared" si="9"/>
        <v>0.32030084113221946</v>
      </c>
      <c r="F41" s="94">
        <f t="shared" si="9"/>
        <v>0.4080160170170153</v>
      </c>
      <c r="G41" s="94">
        <f t="shared" si="9"/>
        <v>0.4845402423746279</v>
      </c>
      <c r="H41" s="94">
        <f t="shared" si="9"/>
        <v>0.5488739037582988</v>
      </c>
      <c r="I41" s="94">
        <f t="shared" si="9"/>
        <v>0.6000151215053435</v>
      </c>
      <c r="J41" s="94">
        <f t="shared" si="9"/>
        <v>0.6369585208423061</v>
      </c>
      <c r="K41" s="94">
        <f t="shared" si="9"/>
        <v>0.6586941016640253</v>
      </c>
      <c r="L41" s="94">
        <f t="shared" si="9"/>
        <v>0.6642062211933961</v>
      </c>
      <c r="M41" s="94">
        <f t="shared" si="9"/>
        <v>0.6524727092066627</v>
      </c>
      <c r="N41" s="94">
        <f t="shared" si="9"/>
        <v>0.6224641423875141</v>
      </c>
      <c r="O41" s="94">
        <f t="shared" si="9"/>
        <v>0.5731433131348354</v>
      </c>
      <c r="P41" s="94">
        <f t="shared" si="9"/>
        <v>0.5034649393866317</v>
      </c>
      <c r="Q41" s="94">
        <f t="shared" si="9"/>
        <v>0.4123756765798845</v>
      </c>
      <c r="R41" s="94">
        <f t="shared" si="9"/>
        <v>0.2988145118816732</v>
      </c>
      <c r="S41" s="94">
        <f t="shared" si="9"/>
        <v>0.1617136458583417</v>
      </c>
      <c r="T41" s="115">
        <f t="shared" si="9"/>
        <v>0</v>
      </c>
      <c r="U41" s="123">
        <f>U40-U39</f>
        <v>0.20334982342960473</v>
      </c>
    </row>
    <row r="42" spans="1:21" ht="13.5" thickTop="1">
      <c r="A42" s="1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9"/>
      <c r="U42" s="42"/>
    </row>
    <row r="43" spans="1:21" ht="12.75">
      <c r="A43" s="20" t="str">
        <f>Lang!A72</f>
        <v>Saisir résistance du ressort N/mm (F1) :</v>
      </c>
      <c r="B43" s="100">
        <v>46.8</v>
      </c>
      <c r="C43" s="69"/>
      <c r="D43" s="68" t="str">
        <f>Lang!A71</f>
        <v>Calcul de résistance selon débattements de roue arrière Graph2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72"/>
      <c r="U43" s="42"/>
    </row>
    <row r="44" spans="1:21" ht="12.75">
      <c r="A44" s="101"/>
      <c r="B44" s="102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2"/>
      <c r="U44" s="42"/>
    </row>
    <row r="45" spans="1:21" ht="12.75">
      <c r="A45" s="109" t="str">
        <f>Lang!A73</f>
        <v>Report Débattement (D2, abscisse)</v>
      </c>
      <c r="B45" s="69"/>
      <c r="C45" s="106">
        <f aca="true" t="shared" si="10" ref="C45:U45">C32</f>
        <v>7.777777777777778</v>
      </c>
      <c r="D45" s="108">
        <f t="shared" si="10"/>
        <v>15.555555555555555</v>
      </c>
      <c r="E45" s="108">
        <f t="shared" si="10"/>
        <v>23.333333333333332</v>
      </c>
      <c r="F45" s="108">
        <f t="shared" si="10"/>
        <v>31.11111111111111</v>
      </c>
      <c r="G45" s="108">
        <f t="shared" si="10"/>
        <v>38.888888888888886</v>
      </c>
      <c r="H45" s="108">
        <f t="shared" si="10"/>
        <v>46.666666666666664</v>
      </c>
      <c r="I45" s="108">
        <f t="shared" si="10"/>
        <v>54.44444444444444</v>
      </c>
      <c r="J45" s="108">
        <f t="shared" si="10"/>
        <v>62.22222222222222</v>
      </c>
      <c r="K45" s="108">
        <f t="shared" si="10"/>
        <v>70</v>
      </c>
      <c r="L45" s="108">
        <f t="shared" si="10"/>
        <v>77.77777777777777</v>
      </c>
      <c r="M45" s="108">
        <f t="shared" si="10"/>
        <v>85.55555555555554</v>
      </c>
      <c r="N45" s="108">
        <f t="shared" si="10"/>
        <v>93.33333333333331</v>
      </c>
      <c r="O45" s="108">
        <f t="shared" si="10"/>
        <v>101.11111111111109</v>
      </c>
      <c r="P45" s="108">
        <f t="shared" si="10"/>
        <v>108.88888888888886</v>
      </c>
      <c r="Q45" s="108">
        <f t="shared" si="10"/>
        <v>116.66666666666663</v>
      </c>
      <c r="R45" s="108">
        <f t="shared" si="10"/>
        <v>124.4444444444444</v>
      </c>
      <c r="S45" s="108">
        <f t="shared" si="10"/>
        <v>132.22222222222217</v>
      </c>
      <c r="T45" s="108">
        <f t="shared" si="10"/>
        <v>139.99999999999994</v>
      </c>
      <c r="U45" s="124">
        <f t="shared" si="10"/>
        <v>130</v>
      </c>
    </row>
    <row r="46" spans="1:21" ht="12.75">
      <c r="A46" s="10" t="str">
        <f>Lang!A74</f>
        <v>Report Compression (D1)</v>
      </c>
      <c r="B46" s="69"/>
      <c r="C46" s="69">
        <f aca="true" t="shared" si="11" ref="C46:U46">C39</f>
        <v>6.492897961698645</v>
      </c>
      <c r="D46" s="69">
        <f t="shared" si="11"/>
        <v>12.99398804314933</v>
      </c>
      <c r="E46" s="69">
        <f t="shared" si="11"/>
        <v>19.50427129316472</v>
      </c>
      <c r="F46" s="69">
        <f t="shared" si="11"/>
        <v>26.02474682871224</v>
      </c>
      <c r="G46" s="69">
        <f t="shared" si="11"/>
        <v>32.55641331478694</v>
      </c>
      <c r="H46" s="69">
        <f t="shared" si="11"/>
        <v>39.10027036483558</v>
      </c>
      <c r="I46" s="69">
        <f t="shared" si="11"/>
        <v>45.65731985852085</v>
      </c>
      <c r="J46" s="69">
        <f t="shared" si="11"/>
        <v>52.2285671706162</v>
      </c>
      <c r="K46" s="69">
        <f t="shared" si="11"/>
        <v>58.815022301226804</v>
      </c>
      <c r="L46" s="69">
        <f t="shared" si="11"/>
        <v>65.41770089312973</v>
      </c>
      <c r="M46" s="69">
        <f t="shared" si="11"/>
        <v>72.03762511654878</v>
      </c>
      <c r="N46" s="69">
        <f t="shared" si="11"/>
        <v>78.67582439480023</v>
      </c>
      <c r="O46" s="69">
        <f t="shared" si="11"/>
        <v>85.33333593548522</v>
      </c>
      <c r="P46" s="69">
        <f t="shared" si="11"/>
        <v>92.01120502066573</v>
      </c>
      <c r="Q46" s="69">
        <f t="shared" si="11"/>
        <v>98.71048499490479</v>
      </c>
      <c r="R46" s="69">
        <f t="shared" si="11"/>
        <v>105.43223687103531</v>
      </c>
      <c r="S46" s="69">
        <f t="shared" si="11"/>
        <v>112.17752844849096</v>
      </c>
      <c r="T46" s="72">
        <f t="shared" si="11"/>
        <v>118.9474328057816</v>
      </c>
      <c r="U46" s="43">
        <f t="shared" si="11"/>
        <v>110.24783778193907</v>
      </c>
    </row>
    <row r="47" spans="1:21" ht="12.75">
      <c r="A47" s="109" t="str">
        <f>Lang!A75&amp;Lang!A76</f>
        <v>Résistance F2=F1xD1/D2 (ordonnée)</v>
      </c>
      <c r="B47" s="69"/>
      <c r="C47" s="106">
        <f aca="true" t="shared" si="12" ref="C47:U47">$B$43*C46/C45</f>
        <v>39.06869459239242</v>
      </c>
      <c r="D47" s="108">
        <f t="shared" si="12"/>
        <v>39.09334116981784</v>
      </c>
      <c r="E47" s="108">
        <f t="shared" si="12"/>
        <v>39.119995565147526</v>
      </c>
      <c r="F47" s="108">
        <f t="shared" si="12"/>
        <v>39.14865487233426</v>
      </c>
      <c r="G47" s="108">
        <f t="shared" si="12"/>
        <v>39.179317966252164</v>
      </c>
      <c r="H47" s="108">
        <f t="shared" si="12"/>
        <v>39.21198542302083</v>
      </c>
      <c r="I47" s="108">
        <f t="shared" si="12"/>
        <v>39.246659437569356</v>
      </c>
      <c r="J47" s="108">
        <f t="shared" si="12"/>
        <v>39.2833437361849</v>
      </c>
      <c r="K47" s="108">
        <f t="shared" si="12"/>
        <v>39.32204348139163</v>
      </c>
      <c r="L47" s="108">
        <f t="shared" si="12"/>
        <v>39.36276516598035</v>
      </c>
      <c r="M47" s="108">
        <f t="shared" si="12"/>
        <v>39.40551649232513</v>
      </c>
      <c r="N47" s="108">
        <f t="shared" si="12"/>
        <v>39.45030623224984</v>
      </c>
      <c r="O47" s="108">
        <f t="shared" si="12"/>
        <v>39.497144061567454</v>
      </c>
      <c r="P47" s="108">
        <f t="shared" si="12"/>
        <v>39.546040361943284</v>
      </c>
      <c r="Q47" s="108">
        <f t="shared" si="12"/>
        <v>39.59700598081324</v>
      </c>
      <c r="R47" s="108">
        <f t="shared" si="12"/>
        <v>39.650051937571504</v>
      </c>
      <c r="S47" s="108">
        <f t="shared" si="12"/>
        <v>39.70518906092808</v>
      </c>
      <c r="T47" s="108">
        <f t="shared" si="12"/>
        <v>39.76242753793272</v>
      </c>
      <c r="U47" s="124">
        <f t="shared" si="12"/>
        <v>39.68922160149806</v>
      </c>
    </row>
    <row r="48" spans="1:21" ht="12.75">
      <c r="A48" s="10" t="str">
        <f>Lang!A70&amp;" Y="&amp;FIXED(($C$47-$T$47)/($C$45-$T$45),3)&amp;"*X+"&amp;FIXED($C$47-$C$45*($C$47-$T$47)/($C$45-$T$45),2)</f>
        <v>Comparaison linéaire Y=0,005*X+39,03</v>
      </c>
      <c r="B48" s="69"/>
      <c r="C48" s="69">
        <f aca="true" t="shared" si="13" ref="C48:U48">C45*($C$47-$T$47)/($C$45-$T$45)+$C$47-$C$45*($C$47-$T$47)/($C$45-$T$45)</f>
        <v>39.06869459239242</v>
      </c>
      <c r="D48" s="69">
        <f t="shared" si="13"/>
        <v>39.109502412718314</v>
      </c>
      <c r="E48" s="69">
        <f t="shared" si="13"/>
        <v>39.150310233044216</v>
      </c>
      <c r="F48" s="69">
        <f t="shared" si="13"/>
        <v>39.19111805337012</v>
      </c>
      <c r="G48" s="69">
        <f t="shared" si="13"/>
        <v>39.23192587369602</v>
      </c>
      <c r="H48" s="69">
        <f t="shared" si="13"/>
        <v>39.272733694021916</v>
      </c>
      <c r="I48" s="69">
        <f t="shared" si="13"/>
        <v>39.31354151434782</v>
      </c>
      <c r="J48" s="69">
        <f t="shared" si="13"/>
        <v>39.35434933467372</v>
      </c>
      <c r="K48" s="69">
        <f t="shared" si="13"/>
        <v>39.395157154999616</v>
      </c>
      <c r="L48" s="69">
        <f t="shared" si="13"/>
        <v>39.43596497532552</v>
      </c>
      <c r="M48" s="69">
        <f t="shared" si="13"/>
        <v>39.47677279565142</v>
      </c>
      <c r="N48" s="69">
        <f t="shared" si="13"/>
        <v>39.517580615977316</v>
      </c>
      <c r="O48" s="69">
        <f t="shared" si="13"/>
        <v>39.55838843630322</v>
      </c>
      <c r="P48" s="69">
        <f t="shared" si="13"/>
        <v>39.59919625662912</v>
      </c>
      <c r="Q48" s="69">
        <f t="shared" si="13"/>
        <v>39.64000407695502</v>
      </c>
      <c r="R48" s="69">
        <f t="shared" si="13"/>
        <v>39.68081189728092</v>
      </c>
      <c r="S48" s="69">
        <f t="shared" si="13"/>
        <v>39.72161971760682</v>
      </c>
      <c r="T48" s="72">
        <f t="shared" si="13"/>
        <v>39.76242753793272</v>
      </c>
      <c r="U48" s="43">
        <f t="shared" si="13"/>
        <v>39.70996034037085</v>
      </c>
    </row>
    <row r="49" spans="1:21" ht="13.5" thickBot="1">
      <c r="A49" s="24" t="str">
        <f>Lang!A77</f>
        <v>Différences</v>
      </c>
      <c r="B49" s="103"/>
      <c r="C49" s="104">
        <f>C48-C47</f>
        <v>0</v>
      </c>
      <c r="D49" s="104">
        <f aca="true" t="shared" si="14" ref="D49:U49">D48-D47</f>
        <v>0.016161242900473383</v>
      </c>
      <c r="E49" s="104">
        <f t="shared" si="14"/>
        <v>0.030314667896689684</v>
      </c>
      <c r="F49" s="104">
        <f t="shared" si="14"/>
        <v>0.04246318103585622</v>
      </c>
      <c r="G49" s="104">
        <f t="shared" si="14"/>
        <v>0.052607907443857016</v>
      </c>
      <c r="H49" s="104">
        <f t="shared" si="14"/>
        <v>0.06074827100108848</v>
      </c>
      <c r="I49" s="104">
        <f t="shared" si="14"/>
        <v>0.06688207677846236</v>
      </c>
      <c r="J49" s="104">
        <f t="shared" si="14"/>
        <v>0.07100559848882426</v>
      </c>
      <c r="K49" s="104">
        <f t="shared" si="14"/>
        <v>0.07311367360798471</v>
      </c>
      <c r="L49" s="104">
        <f t="shared" si="14"/>
        <v>0.07319980934516934</v>
      </c>
      <c r="M49" s="104">
        <f t="shared" si="14"/>
        <v>0.07125630332629385</v>
      </c>
      <c r="N49" s="104">
        <f t="shared" si="14"/>
        <v>0.0672743837274794</v>
      </c>
      <c r="O49" s="104">
        <f t="shared" si="14"/>
        <v>0.061244374735764495</v>
      </c>
      <c r="P49" s="104">
        <f t="shared" si="14"/>
        <v>0.05315589468583681</v>
      </c>
      <c r="Q49" s="104">
        <f t="shared" si="14"/>
        <v>0.04299809614177974</v>
      </c>
      <c r="R49" s="104">
        <f t="shared" si="14"/>
        <v>0.03075995970941392</v>
      </c>
      <c r="S49" s="104">
        <f t="shared" si="14"/>
        <v>0.016430656678743105</v>
      </c>
      <c r="T49" s="105">
        <f t="shared" si="14"/>
        <v>0</v>
      </c>
      <c r="U49" s="125">
        <f t="shared" si="14"/>
        <v>0.020738738872786655</v>
      </c>
    </row>
    <row r="50" ht="13.5" thickTop="1"/>
  </sheetData>
  <mergeCells count="1">
    <mergeCell ref="A28:T28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Gericom</dc:creator>
  <cp:keywords/>
  <dc:description/>
  <cp:lastModifiedBy>hello</cp:lastModifiedBy>
  <cp:lastPrinted>2013-11-06T11:34:36Z</cp:lastPrinted>
  <dcterms:created xsi:type="dcterms:W3CDTF">2013-10-08T19:13:21Z</dcterms:created>
  <dcterms:modified xsi:type="dcterms:W3CDTF">2016-04-06T08:24:16Z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